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Analysis - Error Calculations" sheetId="4" r:id="rId1"/>
    <sheet name="Analysis - Error (dB to Linear)" sheetId="5" r:id="rId2"/>
    <sheet name="Analysis - Error (Linear to dB)" sheetId="6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6"/>
  <c r="C17" s="1"/>
  <c r="B34" s="1"/>
  <c r="C13"/>
  <c r="B12"/>
  <c r="B17" s="1"/>
  <c r="G10"/>
  <c r="F10"/>
  <c r="J10" s="1"/>
  <c r="G9"/>
  <c r="F9"/>
  <c r="J9" s="1"/>
  <c r="G8"/>
  <c r="F8"/>
  <c r="J8" s="1"/>
  <c r="G7"/>
  <c r="F7"/>
  <c r="A1"/>
  <c r="C15" i="5"/>
  <c r="C17" s="1"/>
  <c r="C13"/>
  <c r="B12"/>
  <c r="B17" s="1"/>
  <c r="F10"/>
  <c r="G10" s="1"/>
  <c r="K10" s="1"/>
  <c r="F9"/>
  <c r="G9" s="1"/>
  <c r="K9" s="1"/>
  <c r="F8"/>
  <c r="G8" s="1"/>
  <c r="K8" s="1"/>
  <c r="F7"/>
  <c r="A1"/>
  <c r="H63" i="4"/>
  <c r="H62"/>
  <c r="G62"/>
  <c r="H58"/>
  <c r="H57"/>
  <c r="H56"/>
  <c r="G56"/>
  <c r="H52"/>
  <c r="G52"/>
  <c r="H48"/>
  <c r="G48"/>
  <c r="H44"/>
  <c r="G44"/>
  <c r="H40"/>
  <c r="G40"/>
  <c r="H36"/>
  <c r="G36"/>
  <c r="H32"/>
  <c r="G32"/>
  <c r="H28"/>
  <c r="H26"/>
  <c r="G26"/>
  <c r="H22"/>
  <c r="H20"/>
  <c r="G20"/>
  <c r="H16"/>
  <c r="G16"/>
  <c r="H12"/>
  <c r="H10"/>
  <c r="G10"/>
  <c r="A1"/>
  <c r="F12" i="5" l="1"/>
  <c r="F17" s="1"/>
  <c r="G13" i="6"/>
  <c r="K9"/>
  <c r="K10"/>
  <c r="F12"/>
  <c r="F25" s="1"/>
  <c r="F28" s="1"/>
  <c r="C28" s="1"/>
  <c r="F37" s="1"/>
  <c r="G15"/>
  <c r="G25" s="1"/>
  <c r="F34" s="1"/>
  <c r="K8"/>
  <c r="J7" i="5"/>
  <c r="J8"/>
  <c r="J9"/>
  <c r="J10"/>
  <c r="B39"/>
  <c r="G20"/>
  <c r="F43"/>
  <c r="F29" i="6"/>
  <c r="C29" s="1"/>
  <c r="C20"/>
  <c r="C19"/>
  <c r="B33"/>
  <c r="B21"/>
  <c r="C21"/>
  <c r="B19"/>
  <c r="B38"/>
  <c r="E38" s="1"/>
  <c r="D34"/>
  <c r="E34"/>
  <c r="G7" i="5"/>
  <c r="J7" i="6"/>
  <c r="E29" l="1"/>
  <c r="B37"/>
  <c r="E37" s="1"/>
  <c r="E27"/>
  <c r="F27"/>
  <c r="C27" s="1"/>
  <c r="F38" s="1"/>
  <c r="F33"/>
  <c r="J12" i="5"/>
  <c r="J27" s="1"/>
  <c r="K7" i="6"/>
  <c r="J12"/>
  <c r="J17" s="1"/>
  <c r="G15" i="5"/>
  <c r="G17" s="1"/>
  <c r="G13"/>
  <c r="K7"/>
  <c r="E33" i="6"/>
  <c r="D33"/>
  <c r="F19"/>
  <c r="E19"/>
  <c r="F21"/>
  <c r="E21"/>
  <c r="C24"/>
  <c r="F20"/>
  <c r="F23" s="1"/>
  <c r="E20"/>
  <c r="J20" i="5"/>
  <c r="I20"/>
  <c r="E39"/>
  <c r="D39"/>
  <c r="B43" l="1"/>
  <c r="E43" s="1"/>
  <c r="J30"/>
  <c r="G30" s="1"/>
  <c r="G24" s="1"/>
  <c r="F39"/>
  <c r="K15"/>
  <c r="K27" s="1"/>
  <c r="K13"/>
  <c r="F44"/>
  <c r="B40"/>
  <c r="G19"/>
  <c r="G21"/>
  <c r="K15" i="6"/>
  <c r="K17" s="1"/>
  <c r="K13"/>
  <c r="J21" i="5" l="1"/>
  <c r="I21"/>
  <c r="J19"/>
  <c r="I19"/>
  <c r="E40"/>
  <c r="D40"/>
  <c r="F40"/>
  <c r="B44"/>
  <c r="E44" s="1"/>
  <c r="J29"/>
  <c r="G29" s="1"/>
  <c r="J31"/>
  <c r="G31" s="1"/>
  <c r="J24"/>
</calcChain>
</file>

<file path=xl/sharedStrings.xml><?xml version="1.0" encoding="utf-8"?>
<sst xmlns="http://schemas.openxmlformats.org/spreadsheetml/2006/main" count="385" uniqueCount="126">
  <si>
    <t>Error in variable x, y</t>
  </si>
  <si>
    <t>Data Entry Field</t>
  </si>
  <si>
    <t>Results Field</t>
  </si>
  <si>
    <t>Addition/Subtraction</t>
  </si>
  <si>
    <t>z = ƒ( x , y )</t>
  </si>
  <si>
    <t>δz = ƒ( δx , δy )</t>
  </si>
  <si>
    <t>x</t>
  </si>
  <si>
    <t>δx</t>
  </si>
  <si>
    <t>y</t>
  </si>
  <si>
    <t>δy</t>
  </si>
  <si>
    <t>z = x + y</t>
  </si>
  <si>
    <t>δz = |δx| + |δy|</t>
  </si>
  <si>
    <t>δz = RSS( ƒ( δx , δy ))</t>
  </si>
  <si>
    <r>
      <t>δz = (|δx|² + |δy|²)</t>
    </r>
    <r>
      <rPr>
        <vertAlign val="superscript"/>
        <sz val="10"/>
        <color indexed="8"/>
        <rFont val="Consolas"/>
        <family val="3"/>
      </rPr>
      <t>−½</t>
    </r>
  </si>
  <si>
    <t>Exponential</t>
  </si>
  <si>
    <t>y = ƒ( x )</t>
  </si>
  <si>
    <t>δy = ƒ( x , δx )</t>
  </si>
  <si>
    <t>c</t>
  </si>
  <si>
    <t>n</t>
  </si>
  <si>
    <t>y = c · xⁿ</t>
  </si>
  <si>
    <t>δy = |n · c · xⁿ⁻¹ δx|</t>
  </si>
  <si>
    <t>Product</t>
  </si>
  <si>
    <t>z = x · y</t>
  </si>
  <si>
    <t>δz = |x · δy| + |y · δx|</t>
  </si>
  <si>
    <r>
      <t>δz = (|x · δy|² + |y · δx|²)</t>
    </r>
    <r>
      <rPr>
        <vertAlign val="superscript"/>
        <sz val="10"/>
        <color indexed="8"/>
        <rFont val="Consolas"/>
        <family val="3"/>
      </rPr>
      <t>−½</t>
    </r>
  </si>
  <si>
    <t>Quotient</t>
  </si>
  <si>
    <t>z = x · y⁻¹</t>
  </si>
  <si>
    <t>δz = |y⁻¹ δx| + |x · (−1) · y⁻² δy|</t>
  </si>
  <si>
    <r>
      <t>δz = (|y⁻¹ δx|² + |x · y⁻² δy|²)</t>
    </r>
    <r>
      <rPr>
        <vertAlign val="superscript"/>
        <sz val="10"/>
        <color indexed="8"/>
        <rFont val="Consolas"/>
        <family val="3"/>
      </rPr>
      <t>−½</t>
    </r>
  </si>
  <si>
    <t>Chain Rule</t>
  </si>
  <si>
    <t>All calculations done in radians</t>
  </si>
  <si>
    <t>y = sin( x )</t>
  </si>
  <si>
    <t>δy = |cos( x ) δx|</t>
  </si>
  <si>
    <t>y = asin( x )</t>
  </si>
  <si>
    <r>
      <t>δy = |δx · (1 − x²)</t>
    </r>
    <r>
      <rPr>
        <vertAlign val="superscript"/>
        <sz val="10"/>
        <color indexed="8"/>
        <rFont val="Consolas"/>
        <family val="3"/>
      </rPr>
      <t>−½</t>
    </r>
    <r>
      <rPr>
        <sz val="10"/>
        <color theme="1"/>
        <rFont val="Consolas"/>
        <family val="2"/>
      </rPr>
      <t>|</t>
    </r>
  </si>
  <si>
    <t>y = cos( x )</t>
  </si>
  <si>
    <t>δy = |−sin( x ) δx|</t>
  </si>
  <si>
    <t>y = acos( x )</t>
  </si>
  <si>
    <r>
      <t>δy = |−δx · (1 − x²)</t>
    </r>
    <r>
      <rPr>
        <vertAlign val="superscript"/>
        <sz val="10"/>
        <color indexed="8"/>
        <rFont val="Consolas"/>
        <family val="3"/>
      </rPr>
      <t>−½</t>
    </r>
    <r>
      <rPr>
        <sz val="10"/>
        <color theme="1"/>
        <rFont val="Consolas"/>
        <family val="2"/>
      </rPr>
      <t>|</t>
    </r>
  </si>
  <si>
    <r>
      <t xml:space="preserve">Exponential (Base </t>
    </r>
    <r>
      <rPr>
        <i/>
        <sz val="10"/>
        <color indexed="9"/>
        <rFont val="Consolas"/>
        <family val="3"/>
      </rPr>
      <t>e</t>
    </r>
    <r>
      <rPr>
        <sz val="10"/>
        <color indexed="9"/>
        <rFont val="Consolas"/>
        <family val="3"/>
      </rPr>
      <t>)</t>
    </r>
  </si>
  <si>
    <r>
      <t xml:space="preserve">y = </t>
    </r>
    <r>
      <rPr>
        <i/>
        <sz val="10"/>
        <color indexed="8"/>
        <rFont val="Consolas"/>
        <family val="3"/>
      </rPr>
      <t>e</t>
    </r>
    <r>
      <rPr>
        <sz val="10"/>
        <color theme="1"/>
        <rFont val="Consolas"/>
        <family val="2"/>
      </rPr>
      <t>ˣ</t>
    </r>
  </si>
  <si>
    <r>
      <t>δy = |</t>
    </r>
    <r>
      <rPr>
        <i/>
        <sz val="10"/>
        <color indexed="8"/>
        <rFont val="Consolas"/>
        <family val="3"/>
      </rPr>
      <t>e</t>
    </r>
    <r>
      <rPr>
        <sz val="10"/>
        <color theme="1"/>
        <rFont val="Consolas"/>
        <family val="2"/>
      </rPr>
      <t>ˣ δx|</t>
    </r>
  </si>
  <si>
    <r>
      <t xml:space="preserve">Logarithm (Base </t>
    </r>
    <r>
      <rPr>
        <i/>
        <sz val="10"/>
        <color indexed="9"/>
        <rFont val="Consolas"/>
        <family val="3"/>
      </rPr>
      <t>e</t>
    </r>
    <r>
      <rPr>
        <sz val="10"/>
        <color indexed="9"/>
        <rFont val="Consolas"/>
        <family val="3"/>
      </rPr>
      <t>)</t>
    </r>
  </si>
  <si>
    <t>y = ln( x )</t>
  </si>
  <si>
    <t>δy = |x⁻¹ · δx|</t>
  </si>
  <si>
    <t>Exponential (Base 10)</t>
  </si>
  <si>
    <r>
      <t>y = 10</t>
    </r>
    <r>
      <rPr>
        <vertAlign val="superscript"/>
        <sz val="10"/>
        <color indexed="8"/>
        <rFont val="Consolas"/>
        <family val="3"/>
      </rPr>
      <t>x/10</t>
    </r>
  </si>
  <si>
    <r>
      <t>δy = |ln( 10 ) · 10</t>
    </r>
    <r>
      <rPr>
        <vertAlign val="superscript"/>
        <sz val="10"/>
        <color indexed="8"/>
        <rFont val="Consolas"/>
        <family val="3"/>
      </rPr>
      <t>x/10</t>
    </r>
    <r>
      <rPr>
        <sz val="10"/>
        <color theme="1"/>
        <rFont val="Consolas"/>
        <family val="2"/>
      </rPr>
      <t xml:space="preserve"> · 10⁻¹  δx|</t>
    </r>
  </si>
  <si>
    <t>MS-Excel Method 1</t>
  </si>
  <si>
    <r>
      <t>δy = |ln( 10 ) · 10</t>
    </r>
    <r>
      <rPr>
        <vertAlign val="superscript"/>
        <sz val="10"/>
        <color indexed="8"/>
        <rFont val="Consolas"/>
        <family val="3"/>
      </rPr>
      <t>(x/10 − 1)</t>
    </r>
    <r>
      <rPr>
        <sz val="10"/>
        <color theme="1"/>
        <rFont val="Consolas"/>
        <family val="2"/>
      </rPr>
      <t xml:space="preserve"> δx|</t>
    </r>
  </si>
  <si>
    <t>MS-Excel Method 2</t>
  </si>
  <si>
    <r>
      <t>δy = |10</t>
    </r>
    <r>
      <rPr>
        <vertAlign val="superscript"/>
        <sz val="10"/>
        <color indexed="8"/>
        <rFont val="Consolas"/>
        <family val="3"/>
      </rPr>
      <t>(x/10 − 1)</t>
    </r>
    <r>
      <rPr>
        <sz val="10"/>
        <color theme="1"/>
        <rFont val="Consolas"/>
        <family val="2"/>
      </rPr>
      <t xml:space="preserve"> / log₁₀( </t>
    </r>
    <r>
      <rPr>
        <i/>
        <sz val="10"/>
        <color indexed="8"/>
        <rFont val="Consolas"/>
        <family val="3"/>
      </rPr>
      <t>e</t>
    </r>
    <r>
      <rPr>
        <sz val="10"/>
        <color theme="1"/>
        <rFont val="Consolas"/>
        <family val="2"/>
      </rPr>
      <t xml:space="preserve"> ) δx|</t>
    </r>
  </si>
  <si>
    <t>MS-Excel Method 3</t>
  </si>
  <si>
    <t>Logarithm (Base 10)</t>
  </si>
  <si>
    <t>y = 10 · log₁₀( x )</t>
  </si>
  <si>
    <t>δy = |10 · ( ln( 10 ) · x )⁻¹  δx|</t>
  </si>
  <si>
    <r>
      <t xml:space="preserve">δy = |10 ·  log₁₀( </t>
    </r>
    <r>
      <rPr>
        <i/>
        <sz val="10"/>
        <color indexed="8"/>
        <rFont val="Consolas"/>
        <family val="3"/>
      </rPr>
      <t>e</t>
    </r>
    <r>
      <rPr>
        <sz val="10"/>
        <color theme="1"/>
        <rFont val="Consolas"/>
        <family val="2"/>
      </rPr>
      <t xml:space="preserve"> ) · x⁻¹  δx|</t>
    </r>
  </si>
  <si>
    <t>Top of Page</t>
  </si>
  <si>
    <t>Gain of an Amplifier - Logarithmic to Linear Conversion including detailed error analysis.</t>
  </si>
  <si>
    <t>Data Entry Fields</t>
  </si>
  <si>
    <t>Results</t>
  </si>
  <si>
    <t>Checked</t>
  </si>
  <si>
    <t>Verified</t>
  </si>
  <si>
    <t>Erroneous</t>
  </si>
  <si>
    <t>Gain (dB)</t>
  </si>
  <si>
    <t>Error (dB)</t>
  </si>
  <si>
    <t>Gain (Linear)</t>
  </si>
  <si>
    <t>Error (Linear)</t>
  </si>
  <si>
    <t>Check:</t>
  </si>
  <si>
    <r>
      <t>δy = |ln(10)·10</t>
    </r>
    <r>
      <rPr>
        <vertAlign val="superscript"/>
        <sz val="10"/>
        <color indexed="8"/>
        <rFont val="Consolas"/>
        <family val="3"/>
      </rPr>
      <t>x/10</t>
    </r>
    <r>
      <rPr>
        <sz val="10"/>
        <color theme="1"/>
        <rFont val="Consolas"/>
        <family val="2"/>
      </rPr>
      <t>·10⁻¹ δx|</t>
    </r>
  </si>
  <si>
    <t>x = 10 · log₁₀( y )</t>
  </si>
  <si>
    <t>δx = |10·(ln(10) · y)⁻¹ δy|</t>
  </si>
  <si>
    <t xml:space="preserve"> G₁ =</t>
  </si>
  <si>
    <t>dB → Linear</t>
  </si>
  <si>
    <t xml:space="preserve"> g₁ =</t>
  </si>
  <si>
    <t>Linear → dB</t>
  </si>
  <si>
    <t xml:space="preserve"> G₂ =</t>
  </si>
  <si>
    <t xml:space="preserve"> g₂ =</t>
  </si>
  <si>
    <t xml:space="preserve"> G₃ =</t>
  </si>
  <si>
    <t xml:space="preserve"> g₃ =</t>
  </si>
  <si>
    <t xml:space="preserve"> G₄ =</t>
  </si>
  <si>
    <t xml:space="preserve"> g₄ =</t>
  </si>
  <si>
    <t>G₀ = G₁ + G₂ + G₃ + G₄ =</t>
  </si>
  <si>
    <t>g₀ = g₁ · g₂ · g₃ · g₄ =</t>
  </si>
  <si>
    <t>Addition Rule =</t>
  </si>
  <si>
    <t>Product Rule =</t>
  </si>
  <si>
    <t>↓</t>
  </si>
  <si>
    <t>RSS =</t>
  </si>
  <si>
    <t>Result =</t>
  </si>
  <si>
    <t>↘</t>
  </si>
  <si>
    <t>↙</t>
  </si>
  <si>
    <t>g₀ + δg =</t>
  </si>
  <si>
    <t>g₀ =</t>
  </si>
  <si>
    <t>g₀ − δg =</t>
  </si>
  <si>
    <t>Within Error Bound:</t>
  </si>
  <si>
    <t>↑</t>
  </si>
  <si>
    <r>
      <t>= 10</t>
    </r>
    <r>
      <rPr>
        <vertAlign val="superscript"/>
        <sz val="10"/>
        <color indexed="8"/>
        <rFont val="Consolas"/>
        <family val="3"/>
      </rPr>
      <t>2.823</t>
    </r>
  </si>
  <si>
    <t>Linear ← dB</t>
  </si>
  <si>
    <t>= G₀ + δG</t>
  </si>
  <si>
    <r>
      <t>= 10</t>
    </r>
    <r>
      <rPr>
        <vertAlign val="superscript"/>
        <sz val="10"/>
        <color indexed="8"/>
        <rFont val="Consolas"/>
        <family val="3"/>
      </rPr>
      <t>2.803</t>
    </r>
  </si>
  <si>
    <t>= G₀</t>
  </si>
  <si>
    <r>
      <t>= 10</t>
    </r>
    <r>
      <rPr>
        <vertAlign val="superscript"/>
        <sz val="10"/>
        <color indexed="8"/>
        <rFont val="Consolas"/>
        <family val="3"/>
      </rPr>
      <t>2.783</t>
    </r>
  </si>
  <si>
    <t>= G₀ − δG</t>
  </si>
  <si>
    <t>Cautionary Note:</t>
  </si>
  <si>
    <t>Wrong Answer</t>
  </si>
  <si>
    <t>Correct Answer</t>
  </si>
  <si>
    <t>Linear Gain =</t>
  </si>
  <si>
    <t>Linear Error =</t>
  </si>
  <si>
    <t>Logarithmic Gain =</t>
  </si>
  <si>
    <r>
      <t>10</t>
    </r>
    <r>
      <rPr>
        <vertAlign val="superscript"/>
        <sz val="10"/>
        <color indexed="8"/>
        <rFont val="Consolas"/>
        <family val="3"/>
      </rPr>
      <t>y/10</t>
    </r>
    <r>
      <rPr>
        <sz val="10"/>
        <color theme="1"/>
        <rFont val="Consolas"/>
        <family val="2"/>
      </rPr>
      <t xml:space="preserve"> = </t>
    </r>
  </si>
  <si>
    <t>Logarithmic Error =</t>
  </si>
  <si>
    <r>
      <t>10</t>
    </r>
    <r>
      <rPr>
        <vertAlign val="superscript"/>
        <sz val="10"/>
        <color indexed="8"/>
        <rFont val="Consolas"/>
        <family val="3"/>
      </rPr>
      <t>δy/10</t>
    </r>
    <r>
      <rPr>
        <sz val="10"/>
        <color theme="1"/>
        <rFont val="Consolas"/>
        <family val="2"/>
      </rPr>
      <t xml:space="preserve"> = </t>
    </r>
  </si>
  <si>
    <t>Gain of an Amplifier - Linear to Logarithmic Conversion including detailed error analysis</t>
  </si>
  <si>
    <t>→</t>
  </si>
  <si>
    <t>δy = |10·(ln(10)·x)⁻¹ δx|</t>
  </si>
  <si>
    <r>
      <t>x = 10</t>
    </r>
    <r>
      <rPr>
        <vertAlign val="superscript"/>
        <sz val="10"/>
        <color indexed="8"/>
        <rFont val="Consolas"/>
        <family val="3"/>
      </rPr>
      <t>y/10</t>
    </r>
  </si>
  <si>
    <r>
      <t>δy = |ln(10)·10</t>
    </r>
    <r>
      <rPr>
        <vertAlign val="superscript"/>
        <sz val="10"/>
        <color indexed="8"/>
        <rFont val="Consolas"/>
        <family val="3"/>
      </rPr>
      <t>y/10</t>
    </r>
    <r>
      <rPr>
        <sz val="10"/>
        <color theme="1"/>
        <rFont val="Consolas"/>
        <family val="2"/>
      </rPr>
      <t>·10⁻¹ δy|</t>
    </r>
  </si>
  <si>
    <t>G1 =</t>
  </si>
  <si>
    <t>G2 =</t>
  </si>
  <si>
    <t>G3 =</t>
  </si>
  <si>
    <t>G4 =</t>
  </si>
  <si>
    <t>G1·G2·G3·G4 =</t>
  </si>
  <si>
    <t>G1+G2+G3+G4 =</t>
  </si>
  <si>
    <t>= RSS</t>
  </si>
  <si>
    <t xml:space="preserve">↘       </t>
  </si>
  <si>
    <t>↙           ↓</t>
  </si>
</sst>
</file>

<file path=xl/styles.xml><?xml version="1.0" encoding="utf-8"?>
<styleSheet xmlns="http://schemas.openxmlformats.org/spreadsheetml/2006/main">
  <numFmts count="12">
    <numFmt numFmtId="164" formatCode="0.0"/>
    <numFmt numFmtId="165" formatCode="\±\ 0.0"/>
    <numFmt numFmtId="166" formatCode="\±\ 0.00"/>
    <numFmt numFmtId="167" formatCode="##0.0000E+0"/>
    <numFmt numFmtId="168" formatCode="##0.00E+0"/>
    <numFmt numFmtId="169" formatCode="0.00&quot; dB&quot;"/>
    <numFmt numFmtId="170" formatCode="&quot;G₀ = &quot;0.00&quot; dB&quot;"/>
    <numFmt numFmtId="171" formatCode="&quot;δG = ±&quot;0.00&quot; dB&quot;"/>
    <numFmt numFmtId="172" formatCode="&quot;g₀ = &quot;0.0"/>
    <numFmt numFmtId="173" formatCode="&quot;δg = ±&quot;0.0"/>
    <numFmt numFmtId="174" formatCode="\±0.00&quot; dB&quot;"/>
    <numFmt numFmtId="175" formatCode="\±\ 0"/>
  </numFmts>
  <fonts count="15">
    <font>
      <sz val="10"/>
      <color theme="1"/>
      <name val="Consolas"/>
      <family val="2"/>
    </font>
    <font>
      <sz val="10"/>
      <color theme="1"/>
      <name val="Consolas"/>
      <family val="3"/>
    </font>
    <font>
      <b/>
      <sz val="10"/>
      <color theme="1"/>
      <name val="Consolas"/>
      <family val="3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u/>
      <sz val="10"/>
      <color theme="10"/>
      <name val="Consolas"/>
      <family val="3"/>
    </font>
    <font>
      <sz val="10"/>
      <color theme="0"/>
      <name val="Consolas"/>
      <family val="3"/>
    </font>
    <font>
      <vertAlign val="superscript"/>
      <sz val="10"/>
      <color indexed="8"/>
      <name val="Consolas"/>
      <family val="3"/>
    </font>
    <font>
      <i/>
      <sz val="10"/>
      <color indexed="9"/>
      <name val="Consolas"/>
      <family val="3"/>
    </font>
    <font>
      <sz val="10"/>
      <color indexed="9"/>
      <name val="Consolas"/>
      <family val="3"/>
    </font>
    <font>
      <i/>
      <sz val="10"/>
      <color indexed="8"/>
      <name val="Consolas"/>
      <family val="3"/>
    </font>
    <font>
      <sz val="10"/>
      <color rgb="FF000000"/>
      <name val="Consolas"/>
      <family val="3"/>
    </font>
    <font>
      <sz val="10"/>
      <name val="Consolas"/>
      <family val="3"/>
    </font>
    <font>
      <b/>
      <sz val="10"/>
      <color rgb="FF0070C0"/>
      <name val="Consolas"/>
      <family val="3"/>
    </font>
    <font>
      <b/>
      <sz val="10"/>
      <name val="Consolas"/>
      <family val="3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0" fillId="0" borderId="0" xfId="2" applyFont="1" applyAlignment="1">
      <alignment vertical="center"/>
    </xf>
    <xf numFmtId="0" fontId="5" fillId="0" borderId="0" xfId="3" applyFont="1" applyAlignment="1" applyProtection="1">
      <alignment vertical="center"/>
    </xf>
    <xf numFmtId="0" fontId="0" fillId="2" borderId="0" xfId="2" applyFont="1" applyFill="1" applyAlignment="1">
      <alignment horizontal="center" vertical="center"/>
    </xf>
    <xf numFmtId="164" fontId="0" fillId="3" borderId="0" xfId="2" applyNumberFormat="1" applyFont="1" applyFill="1" applyAlignment="1">
      <alignment horizontal="center" vertical="center"/>
    </xf>
    <xf numFmtId="0" fontId="6" fillId="4" borderId="0" xfId="2" applyFont="1" applyFill="1" applyAlignment="1">
      <alignment vertical="center"/>
    </xf>
    <xf numFmtId="0" fontId="0" fillId="5" borderId="1" xfId="2" applyFont="1" applyFill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164" fontId="0" fillId="2" borderId="1" xfId="2" applyNumberFormat="1" applyFont="1" applyFill="1" applyBorder="1" applyAlignment="1">
      <alignment horizontal="center" vertical="center"/>
    </xf>
    <xf numFmtId="164" fontId="0" fillId="3" borderId="1" xfId="2" applyNumberFormat="1" applyFont="1" applyFill="1" applyBorder="1" applyAlignment="1">
      <alignment horizontal="center" vertical="center"/>
    </xf>
    <xf numFmtId="165" fontId="0" fillId="3" borderId="1" xfId="2" applyNumberFormat="1" applyFont="1" applyFill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2" borderId="1" xfId="2" applyFont="1" applyFill="1" applyBorder="1" applyAlignment="1">
      <alignment horizontal="center" vertical="center"/>
    </xf>
    <xf numFmtId="2" fontId="0" fillId="3" borderId="1" xfId="2" applyNumberFormat="1" applyFont="1" applyFill="1" applyBorder="1" applyAlignment="1">
      <alignment horizontal="center" vertical="center"/>
    </xf>
    <xf numFmtId="166" fontId="0" fillId="3" borderId="1" xfId="2" applyNumberFormat="1" applyFont="1" applyFill="1" applyBorder="1" applyAlignment="1">
      <alignment horizontal="center" vertical="center"/>
    </xf>
    <xf numFmtId="0" fontId="6" fillId="4" borderId="1" xfId="2" applyFont="1" applyFill="1" applyBorder="1" applyAlignment="1">
      <alignment vertical="center"/>
    </xf>
    <xf numFmtId="165" fontId="0" fillId="0" borderId="0" xfId="2" applyNumberFormat="1" applyFont="1" applyAlignment="1">
      <alignment horizontal="center" vertical="center"/>
    </xf>
    <xf numFmtId="0" fontId="5" fillId="0" borderId="0" xfId="3" quotePrefix="1" applyFont="1" applyAlignment="1" applyProtection="1">
      <alignment vertical="center"/>
    </xf>
    <xf numFmtId="167" fontId="0" fillId="0" borderId="0" xfId="2" applyNumberFormat="1" applyFont="1" applyAlignment="1">
      <alignment vertical="center"/>
    </xf>
    <xf numFmtId="11" fontId="0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168" fontId="0" fillId="0" borderId="0" xfId="2" applyNumberFormat="1" applyFont="1" applyAlignment="1">
      <alignment vertical="center"/>
    </xf>
    <xf numFmtId="0" fontId="0" fillId="2" borderId="2" xfId="2" applyFont="1" applyFill="1" applyBorder="1" applyAlignment="1">
      <alignment vertical="center"/>
    </xf>
    <xf numFmtId="0" fontId="0" fillId="5" borderId="3" xfId="2" applyFont="1" applyFill="1" applyBorder="1" applyAlignment="1">
      <alignment vertical="center"/>
    </xf>
    <xf numFmtId="0" fontId="0" fillId="6" borderId="4" xfId="2" applyFont="1" applyFill="1" applyBorder="1" applyAlignment="1">
      <alignment vertical="center"/>
    </xf>
    <xf numFmtId="0" fontId="0" fillId="7" borderId="5" xfId="2" applyFont="1" applyFill="1" applyBorder="1" applyAlignment="1">
      <alignment vertical="center"/>
    </xf>
    <xf numFmtId="166" fontId="0" fillId="8" borderId="6" xfId="2" applyNumberFormat="1" applyFont="1" applyFill="1" applyBorder="1" applyAlignment="1">
      <alignment vertical="center"/>
    </xf>
    <xf numFmtId="0" fontId="6" fillId="4" borderId="1" xfId="2" applyFont="1" applyFill="1" applyBorder="1" applyAlignment="1">
      <alignment horizontal="right" vertical="center"/>
    </xf>
    <xf numFmtId="0" fontId="6" fillId="4" borderId="1" xfId="2" applyFont="1" applyFill="1" applyBorder="1" applyAlignment="1">
      <alignment horizontal="center" vertical="center"/>
    </xf>
    <xf numFmtId="168" fontId="6" fillId="4" borderId="1" xfId="2" applyNumberFormat="1" applyFont="1" applyFill="1" applyBorder="1" applyAlignment="1">
      <alignment horizontal="center" vertical="center"/>
    </xf>
    <xf numFmtId="2" fontId="12" fillId="0" borderId="1" xfId="2" applyNumberFormat="1" applyFont="1" applyBorder="1" applyAlignment="1">
      <alignment horizontal="center" vertical="center"/>
    </xf>
    <xf numFmtId="0" fontId="0" fillId="0" borderId="7" xfId="2" applyFont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2" fontId="13" fillId="0" borderId="1" xfId="2" applyNumberFormat="1" applyFont="1" applyBorder="1" applyAlignment="1">
      <alignment horizontal="center" vertical="center"/>
    </xf>
    <xf numFmtId="0" fontId="0" fillId="0" borderId="1" xfId="2" quotePrefix="1" applyFont="1" applyBorder="1" applyAlignment="1">
      <alignment horizontal="center" vertical="center"/>
    </xf>
    <xf numFmtId="0" fontId="0" fillId="0" borderId="1" xfId="2" applyFont="1" applyBorder="1" applyAlignment="1">
      <alignment horizontal="right" vertical="center"/>
    </xf>
    <xf numFmtId="2" fontId="0" fillId="2" borderId="2" xfId="2" applyNumberFormat="1" applyFont="1" applyFill="1" applyBorder="1" applyAlignment="1">
      <alignment horizontal="center" vertical="center"/>
    </xf>
    <xf numFmtId="166" fontId="0" fillId="2" borderId="2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2" fontId="0" fillId="0" borderId="1" xfId="2" applyNumberFormat="1" applyFont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 vertical="center"/>
    </xf>
    <xf numFmtId="166" fontId="0" fillId="2" borderId="9" xfId="2" applyNumberFormat="1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2" fontId="0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6" fillId="4" borderId="1" xfId="2" quotePrefix="1" applyFont="1" applyFill="1" applyBorder="1" applyAlignment="1">
      <alignment horizontal="right" vertical="center"/>
    </xf>
    <xf numFmtId="169" fontId="0" fillId="0" borderId="1" xfId="2" applyNumberFormat="1" applyFont="1" applyBorder="1" applyAlignment="1">
      <alignment horizontal="center" vertical="center"/>
    </xf>
    <xf numFmtId="2" fontId="6" fillId="4" borderId="1" xfId="2" applyNumberFormat="1" applyFont="1" applyFill="1" applyBorder="1" applyAlignment="1">
      <alignment horizontal="right" vertical="center"/>
    </xf>
    <xf numFmtId="170" fontId="2" fillId="5" borderId="1" xfId="2" applyNumberFormat="1" applyFont="1" applyFill="1" applyBorder="1" applyAlignment="1">
      <alignment horizontal="center" vertical="center"/>
    </xf>
    <xf numFmtId="171" fontId="2" fillId="5" borderId="1" xfId="2" applyNumberFormat="1" applyFont="1" applyFill="1" applyBorder="1" applyAlignment="1">
      <alignment horizontal="center" vertical="center"/>
    </xf>
    <xf numFmtId="172" fontId="2" fillId="7" borderId="1" xfId="2" applyNumberFormat="1" applyFont="1" applyFill="1" applyBorder="1" applyAlignment="1">
      <alignment horizontal="center" vertical="center"/>
    </xf>
    <xf numFmtId="173" fontId="2" fillId="7" borderId="1" xfId="2" applyNumberFormat="1" applyFont="1" applyFill="1" applyBorder="1" applyAlignment="1">
      <alignment horizontal="center" vertical="center"/>
    </xf>
    <xf numFmtId="0" fontId="13" fillId="0" borderId="1" xfId="2" applyFont="1" applyBorder="1" applyAlignment="1">
      <alignment horizontal="right" vertical="center"/>
    </xf>
    <xf numFmtId="2" fontId="0" fillId="0" borderId="0" xfId="2" applyNumberFormat="1" applyFont="1" applyAlignment="1">
      <alignment horizontal="right" vertical="center"/>
    </xf>
    <xf numFmtId="0" fontId="0" fillId="0" borderId="1" xfId="2" quotePrefix="1" applyFont="1" applyBorder="1" applyAlignment="1">
      <alignment horizontal="right" vertical="center"/>
    </xf>
    <xf numFmtId="164" fontId="0" fillId="5" borderId="1" xfId="2" applyNumberFormat="1" applyFont="1" applyFill="1" applyBorder="1" applyAlignment="1">
      <alignment horizontal="center" vertical="center"/>
    </xf>
    <xf numFmtId="169" fontId="0" fillId="7" borderId="1" xfId="2" applyNumberFormat="1" applyFont="1" applyFill="1" applyBorder="1" applyAlignment="1">
      <alignment horizontal="center" vertical="center"/>
    </xf>
    <xf numFmtId="0" fontId="0" fillId="0" borderId="1" xfId="2" applyFont="1" applyBorder="1" applyAlignment="1">
      <alignment vertical="center"/>
    </xf>
    <xf numFmtId="0" fontId="0" fillId="0" borderId="0" xfId="2" quotePrefix="1" applyFont="1" applyAlignment="1">
      <alignment horizontal="right" vertical="center"/>
    </xf>
    <xf numFmtId="0" fontId="14" fillId="0" borderId="10" xfId="2" applyFont="1" applyBorder="1" applyAlignment="1">
      <alignment horizontal="center" vertical="center"/>
    </xf>
    <xf numFmtId="0" fontId="0" fillId="0" borderId="0" xfId="2" applyFont="1"/>
    <xf numFmtId="170" fontId="2" fillId="7" borderId="1" xfId="2" applyNumberFormat="1" applyFont="1" applyFill="1" applyBorder="1" applyAlignment="1">
      <alignment horizontal="center" vertical="center"/>
    </xf>
    <xf numFmtId="171" fontId="2" fillId="7" borderId="1" xfId="2" applyNumberFormat="1" applyFont="1" applyFill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164" fontId="0" fillId="7" borderId="1" xfId="2" applyNumberFormat="1" applyFont="1" applyFill="1" applyBorder="1" applyAlignment="1">
      <alignment horizontal="center" vertical="center"/>
    </xf>
    <xf numFmtId="0" fontId="0" fillId="9" borderId="1" xfId="2" quotePrefix="1" applyFont="1" applyFill="1" applyBorder="1" applyAlignment="1">
      <alignment horizontal="left" vertical="center"/>
    </xf>
    <xf numFmtId="169" fontId="0" fillId="5" borderId="1" xfId="2" applyNumberFormat="1" applyFont="1" applyFill="1" applyBorder="1" applyAlignment="1">
      <alignment horizontal="center" vertical="center"/>
    </xf>
    <xf numFmtId="0" fontId="0" fillId="0" borderId="1" xfId="2" quotePrefix="1" applyFont="1" applyBorder="1" applyAlignment="1">
      <alignment horizontal="left" vertical="center"/>
    </xf>
    <xf numFmtId="0" fontId="6" fillId="10" borderId="0" xfId="2" applyFont="1" applyFill="1" applyAlignment="1">
      <alignment vertical="center"/>
    </xf>
    <xf numFmtId="0" fontId="0" fillId="5" borderId="1" xfId="2" applyFont="1" applyFill="1" applyBorder="1" applyAlignment="1">
      <alignment vertical="center"/>
    </xf>
    <xf numFmtId="164" fontId="0" fillId="5" borderId="1" xfId="2" applyNumberFormat="1" applyFont="1" applyFill="1" applyBorder="1" applyAlignment="1">
      <alignment vertical="center"/>
    </xf>
    <xf numFmtId="2" fontId="14" fillId="5" borderId="1" xfId="2" applyNumberFormat="1" applyFont="1" applyFill="1" applyBorder="1" applyAlignment="1">
      <alignment horizontal="center" vertical="center"/>
    </xf>
    <xf numFmtId="0" fontId="0" fillId="5" borderId="4" xfId="2" quotePrefix="1" applyFont="1" applyFill="1" applyBorder="1" applyAlignment="1">
      <alignment horizontal="right" vertical="center"/>
    </xf>
    <xf numFmtId="169" fontId="0" fillId="5" borderId="7" xfId="2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vertical="center"/>
    </xf>
    <xf numFmtId="0" fontId="0" fillId="0" borderId="4" xfId="2" quotePrefix="1" applyFont="1" applyBorder="1" applyAlignment="1">
      <alignment horizontal="right" vertical="center"/>
    </xf>
    <xf numFmtId="174" fontId="0" fillId="8" borderId="2" xfId="2" applyNumberFormat="1" applyFont="1" applyFill="1" applyBorder="1" applyAlignment="1">
      <alignment horizontal="center" vertical="center"/>
    </xf>
    <xf numFmtId="174" fontId="0" fillId="7" borderId="3" xfId="2" applyNumberFormat="1" applyFont="1" applyFill="1" applyBorder="1" applyAlignment="1">
      <alignment horizontal="center" vertical="center"/>
    </xf>
    <xf numFmtId="165" fontId="0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center" vertical="center"/>
    </xf>
    <xf numFmtId="2" fontId="0" fillId="0" borderId="0" xfId="2" applyNumberFormat="1" applyFont="1" applyAlignment="1">
      <alignment vertical="center"/>
    </xf>
    <xf numFmtId="169" fontId="0" fillId="5" borderId="1" xfId="2" applyNumberFormat="1" applyFont="1" applyFill="1" applyBorder="1" applyAlignment="1">
      <alignment vertical="center"/>
    </xf>
    <xf numFmtId="164" fontId="0" fillId="5" borderId="7" xfId="2" applyNumberFormat="1" applyFont="1" applyFill="1" applyBorder="1" applyAlignment="1">
      <alignment horizontal="center" vertical="center"/>
    </xf>
    <xf numFmtId="174" fontId="0" fillId="0" borderId="1" xfId="2" applyNumberFormat="1" applyFont="1" applyBorder="1" applyAlignment="1">
      <alignment vertical="center"/>
    </xf>
    <xf numFmtId="165" fontId="0" fillId="8" borderId="2" xfId="2" applyNumberFormat="1" applyFont="1" applyFill="1" applyBorder="1" applyAlignment="1">
      <alignment horizontal="center" vertical="center"/>
    </xf>
    <xf numFmtId="165" fontId="0" fillId="7" borderId="3" xfId="2" applyNumberFormat="1" applyFont="1" applyFill="1" applyBorder="1" applyAlignment="1">
      <alignment horizontal="center" vertical="center"/>
    </xf>
    <xf numFmtId="0" fontId="0" fillId="2" borderId="3" xfId="2" applyFont="1" applyFill="1" applyBorder="1" applyAlignment="1">
      <alignment vertical="center"/>
    </xf>
    <xf numFmtId="2" fontId="13" fillId="0" borderId="3" xfId="2" applyNumberFormat="1" applyFont="1" applyBorder="1" applyAlignment="1">
      <alignment horizontal="center" vertical="center"/>
    </xf>
    <xf numFmtId="0" fontId="0" fillId="0" borderId="4" xfId="2" applyFont="1" applyBorder="1" applyAlignment="1">
      <alignment horizontal="right" vertical="center"/>
    </xf>
    <xf numFmtId="164" fontId="12" fillId="2" borderId="2" xfId="2" applyNumberFormat="1" applyFont="1" applyFill="1" applyBorder="1" applyAlignment="1">
      <alignment horizontal="center" vertical="center"/>
    </xf>
    <xf numFmtId="165" fontId="12" fillId="2" borderId="2" xfId="2" applyNumberFormat="1" applyFont="1" applyFill="1" applyBorder="1" applyAlignment="1">
      <alignment horizontal="center" vertical="center"/>
    </xf>
    <xf numFmtId="165" fontId="12" fillId="2" borderId="9" xfId="2" applyNumberFormat="1" applyFont="1" applyFill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175" fontId="0" fillId="0" borderId="1" xfId="2" applyNumberFormat="1" applyFont="1" applyBorder="1" applyAlignment="1">
      <alignment horizontal="center" vertical="center"/>
    </xf>
    <xf numFmtId="0" fontId="6" fillId="4" borderId="1" xfId="2" quotePrefix="1" applyFont="1" applyFill="1" applyBorder="1" applyAlignment="1">
      <alignment horizontal="left" vertical="center"/>
    </xf>
    <xf numFmtId="0" fontId="13" fillId="0" borderId="0" xfId="2" applyFont="1" applyAlignment="1">
      <alignment horizontal="right" vertical="center"/>
    </xf>
    <xf numFmtId="0" fontId="0" fillId="5" borderId="3" xfId="2" applyFont="1" applyFill="1" applyBorder="1" applyAlignment="1">
      <alignment horizontal="center" vertical="center"/>
    </xf>
    <xf numFmtId="169" fontId="0" fillId="6" borderId="1" xfId="2" applyNumberFormat="1" applyFont="1" applyFill="1" applyBorder="1" applyAlignment="1">
      <alignment horizontal="center" vertical="center"/>
    </xf>
    <xf numFmtId="1" fontId="0" fillId="0" borderId="0" xfId="2" applyNumberFormat="1" applyFont="1" applyAlignment="1">
      <alignment vertical="center"/>
    </xf>
    <xf numFmtId="0" fontId="13" fillId="0" borderId="0" xfId="2" applyFont="1" applyAlignment="1">
      <alignment horizontal="left" vertical="center"/>
    </xf>
    <xf numFmtId="1" fontId="0" fillId="6" borderId="1" xfId="2" applyNumberFormat="1" applyFont="1" applyFill="1" applyBorder="1" applyAlignment="1">
      <alignment horizontal="center" vertical="center"/>
    </xf>
    <xf numFmtId="0" fontId="0" fillId="5" borderId="3" xfId="2" applyFont="1" applyFill="1" applyBorder="1" applyAlignment="1">
      <alignment horizontal="left" vertical="center"/>
    </xf>
    <xf numFmtId="0" fontId="0" fillId="5" borderId="3" xfId="2" applyFont="1" applyFill="1" applyBorder="1" applyAlignment="1">
      <alignment horizontal="right" vertical="center"/>
    </xf>
    <xf numFmtId="2" fontId="0" fillId="5" borderId="3" xfId="2" applyNumberFormat="1" applyFont="1" applyFill="1" applyBorder="1" applyAlignment="1">
      <alignment horizontal="center" vertical="center"/>
    </xf>
    <xf numFmtId="175" fontId="0" fillId="0" borderId="1" xfId="2" applyNumberFormat="1" applyFont="1" applyBorder="1" applyAlignment="1">
      <alignment vertical="center"/>
    </xf>
    <xf numFmtId="166" fontId="0" fillId="8" borderId="2" xfId="2" applyNumberFormat="1" applyFont="1" applyFill="1" applyBorder="1" applyAlignment="1">
      <alignment horizontal="center" vertical="center"/>
    </xf>
    <xf numFmtId="175" fontId="0" fillId="0" borderId="0" xfId="2" applyNumberFormat="1" applyFont="1" applyAlignment="1">
      <alignment vertical="center"/>
    </xf>
    <xf numFmtId="1" fontId="0" fillId="5" borderId="3" xfId="2" applyNumberFormat="1" applyFont="1" applyFill="1" applyBorder="1" applyAlignment="1">
      <alignment horizontal="center" vertical="center"/>
    </xf>
    <xf numFmtId="1" fontId="0" fillId="7" borderId="1" xfId="2" applyNumberFormat="1" applyFont="1" applyFill="1" applyBorder="1" applyAlignment="1">
      <alignment horizontal="center" vertical="center"/>
    </xf>
    <xf numFmtId="175" fontId="0" fillId="8" borderId="2" xfId="2" applyNumberFormat="1" applyFont="1" applyFill="1" applyBorder="1" applyAlignment="1">
      <alignment horizontal="center" vertical="center"/>
    </xf>
    <xf numFmtId="175" fontId="0" fillId="7" borderId="3" xfId="2" applyNumberFormat="1" applyFont="1" applyFill="1" applyBorder="1" applyAlignment="1">
      <alignment horizontal="center" vertical="center"/>
    </xf>
  </cellXfs>
  <cellStyles count="4">
    <cellStyle name="Hyperlink 2" xfId="3"/>
    <cellStyle name="Normal" xfId="0" builtinId="0"/>
    <cellStyle name="Normal 2" xfId="1"/>
    <cellStyle name="Normal 2 2" xfId="2"/>
  </cellStyles>
  <dxfs count="8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rgb="FF00B050"/>
  </sheetPr>
  <dimension ref="A1:I111"/>
  <sheetViews>
    <sheetView tabSelected="1" zoomScale="80" zoomScaleNormal="80" workbookViewId="0">
      <selection activeCell="B11" sqref="B11"/>
    </sheetView>
  </sheetViews>
  <sheetFormatPr defaultColWidth="9" defaultRowHeight="12.75" customHeight="1"/>
  <cols>
    <col min="1" max="1" width="25.5703125" style="3" customWidth="1"/>
    <col min="2" max="2" width="47" style="3" customWidth="1"/>
    <col min="3" max="6" width="12.7109375" style="3" customWidth="1"/>
    <col min="7" max="8" width="27.140625" style="3" customWidth="1"/>
    <col min="9" max="9" width="20.7109375" style="3" customWidth="1"/>
    <col min="10" max="13" width="13" style="3" customWidth="1"/>
    <col min="14" max="16384" width="9" style="3"/>
  </cols>
  <sheetData>
    <row r="1" spans="1:9" s="2" customFormat="1" ht="12.75" customHeight="1">
      <c r="A1" s="1" t="str">
        <f ca="1">CONCATENATE(MID(CELL("filename",A1),FIND("]",CELL("filename",A1))+1,255)," - Copyright © 2022 Michael C Maguire P. Eng.")</f>
        <v>Analysis - Error Calculations - Copyright © 2022 Michael C Maguire P. Eng.</v>
      </c>
      <c r="D1" s="3"/>
    </row>
    <row r="2" spans="1:9" s="2" customFormat="1" ht="12.75" customHeight="1">
      <c r="D2" s="3"/>
    </row>
    <row r="3" spans="1:9" ht="12.75" customHeight="1">
      <c r="A3" s="3" t="s">
        <v>0</v>
      </c>
    </row>
    <row r="5" spans="1:9" ht="12.75" customHeight="1">
      <c r="A5" s="5" t="s">
        <v>1</v>
      </c>
    </row>
    <row r="6" spans="1:9" ht="12.75" customHeight="1">
      <c r="A6" s="6" t="s">
        <v>2</v>
      </c>
    </row>
    <row r="8" spans="1:9" ht="12.75" customHeight="1">
      <c r="A8" s="7" t="s">
        <v>3</v>
      </c>
      <c r="B8" s="7"/>
    </row>
    <row r="9" spans="1:9" ht="12.75" customHeight="1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4</v>
      </c>
      <c r="H9" s="8" t="s">
        <v>5</v>
      </c>
    </row>
    <row r="10" spans="1:9" ht="12.75" customHeight="1">
      <c r="A10" s="9" t="s">
        <v>10</v>
      </c>
      <c r="B10" s="9" t="s">
        <v>11</v>
      </c>
      <c r="C10" s="10">
        <v>14</v>
      </c>
      <c r="D10" s="10">
        <v>0.9</v>
      </c>
      <c r="E10" s="10">
        <v>-18</v>
      </c>
      <c r="F10" s="10">
        <v>0.8</v>
      </c>
      <c r="G10" s="11">
        <f>C10+E10</f>
        <v>-4</v>
      </c>
      <c r="H10" s="12">
        <f>ABS(D10)+ABS(F10)</f>
        <v>1.7000000000000002</v>
      </c>
    </row>
    <row r="11" spans="1:9" ht="12.75" customHeight="1">
      <c r="A11" s="13"/>
      <c r="B11" s="8" t="s">
        <v>12</v>
      </c>
      <c r="C11" s="13"/>
      <c r="D11" s="13"/>
      <c r="E11" s="13"/>
      <c r="F11" s="13"/>
      <c r="G11" s="13"/>
      <c r="H11" s="8" t="s">
        <v>12</v>
      </c>
      <c r="I11" s="13"/>
    </row>
    <row r="12" spans="1:9" ht="12.75" customHeight="1">
      <c r="A12" s="13"/>
      <c r="B12" s="9" t="s">
        <v>13</v>
      </c>
      <c r="C12" s="13"/>
      <c r="D12" s="13"/>
      <c r="E12" s="13"/>
      <c r="F12" s="13"/>
      <c r="G12" s="13"/>
      <c r="H12" s="12">
        <f>SQRT(ABS(D10)^2+ABS(F10)^2)</f>
        <v>1.2041594578792296</v>
      </c>
      <c r="I12" s="13"/>
    </row>
    <row r="13" spans="1:9" ht="12.75" customHeight="1">
      <c r="C13" s="13"/>
      <c r="D13" s="13"/>
      <c r="E13" s="13"/>
      <c r="F13" s="13"/>
      <c r="G13" s="13"/>
      <c r="H13" s="13"/>
      <c r="I13" s="13"/>
    </row>
    <row r="14" spans="1:9" ht="12.75" customHeight="1">
      <c r="A14" s="7" t="s">
        <v>14</v>
      </c>
      <c r="B14" s="7"/>
      <c r="C14" s="13"/>
      <c r="D14" s="13"/>
      <c r="E14" s="13"/>
      <c r="F14" s="13"/>
      <c r="G14" s="13"/>
      <c r="H14" s="13"/>
      <c r="I14" s="13"/>
    </row>
    <row r="15" spans="1:9" ht="12.75" customHeight="1">
      <c r="A15" s="8" t="s">
        <v>15</v>
      </c>
      <c r="B15" s="8" t="s">
        <v>16</v>
      </c>
      <c r="C15" s="8" t="s">
        <v>6</v>
      </c>
      <c r="D15" s="8" t="s">
        <v>7</v>
      </c>
      <c r="E15" s="8" t="s">
        <v>17</v>
      </c>
      <c r="F15" s="8" t="s">
        <v>18</v>
      </c>
      <c r="G15" s="8" t="s">
        <v>15</v>
      </c>
      <c r="H15" s="8" t="s">
        <v>16</v>
      </c>
      <c r="I15" s="13"/>
    </row>
    <row r="16" spans="1:9" ht="12.75" customHeight="1">
      <c r="A16" s="9" t="s">
        <v>19</v>
      </c>
      <c r="B16" s="9" t="s">
        <v>20</v>
      </c>
      <c r="C16" s="10">
        <v>12.4</v>
      </c>
      <c r="D16" s="10">
        <v>0.5</v>
      </c>
      <c r="E16" s="10">
        <v>0.7</v>
      </c>
      <c r="F16" s="10">
        <v>3</v>
      </c>
      <c r="G16" s="11">
        <f>E16*C16^F16</f>
        <v>1334.6368</v>
      </c>
      <c r="H16" s="12">
        <f>ABS(F16*E16*C16^(F16-1)*D16)</f>
        <v>161.44799999999998</v>
      </c>
      <c r="I16" s="13"/>
    </row>
    <row r="17" spans="1:9" ht="12.75" customHeight="1">
      <c r="C17" s="13"/>
      <c r="D17" s="13"/>
      <c r="E17" s="13"/>
      <c r="F17" s="13"/>
      <c r="G17" s="13"/>
      <c r="H17" s="13"/>
      <c r="I17" s="13"/>
    </row>
    <row r="18" spans="1:9" ht="12.75" customHeight="1">
      <c r="A18" s="7" t="s">
        <v>21</v>
      </c>
      <c r="B18" s="7"/>
      <c r="C18" s="13"/>
      <c r="D18" s="13"/>
      <c r="E18" s="13"/>
      <c r="F18" s="13"/>
      <c r="G18" s="13"/>
      <c r="H18" s="13"/>
      <c r="I18" s="13"/>
    </row>
    <row r="19" spans="1:9" ht="12.75" customHeight="1">
      <c r="A19" s="8" t="s">
        <v>4</v>
      </c>
      <c r="B19" s="8" t="s">
        <v>5</v>
      </c>
      <c r="C19" s="8" t="s">
        <v>6</v>
      </c>
      <c r="D19" s="8" t="s">
        <v>7</v>
      </c>
      <c r="E19" s="8" t="s">
        <v>8</v>
      </c>
      <c r="F19" s="8" t="s">
        <v>9</v>
      </c>
      <c r="G19" s="8" t="s">
        <v>4</v>
      </c>
      <c r="H19" s="8" t="s">
        <v>5</v>
      </c>
    </row>
    <row r="20" spans="1:9" ht="12.75" customHeight="1">
      <c r="A20" s="9" t="s">
        <v>22</v>
      </c>
      <c r="B20" s="9" t="s">
        <v>23</v>
      </c>
      <c r="C20" s="10">
        <v>3</v>
      </c>
      <c r="D20" s="10">
        <v>0.6</v>
      </c>
      <c r="E20" s="10">
        <v>12</v>
      </c>
      <c r="F20" s="10">
        <v>0.8</v>
      </c>
      <c r="G20" s="11">
        <f>C20*E20</f>
        <v>36</v>
      </c>
      <c r="H20" s="12">
        <f>ABS(C20*F20)+ABS(E20*D20)</f>
        <v>9.6</v>
      </c>
    </row>
    <row r="21" spans="1:9" ht="12.75" customHeight="1">
      <c r="B21" s="8" t="s">
        <v>12</v>
      </c>
      <c r="C21" s="13"/>
      <c r="D21" s="13"/>
      <c r="E21" s="13"/>
      <c r="F21" s="13"/>
      <c r="G21" s="13"/>
      <c r="H21" s="8" t="s">
        <v>12</v>
      </c>
      <c r="I21" s="13"/>
    </row>
    <row r="22" spans="1:9" ht="12.75" customHeight="1">
      <c r="B22" s="9" t="s">
        <v>24</v>
      </c>
      <c r="C22" s="13"/>
      <c r="D22" s="13"/>
      <c r="E22" s="13"/>
      <c r="F22" s="13"/>
      <c r="G22" s="13"/>
      <c r="H22" s="12">
        <f>SQRT(ABS(C20*F20)^2+ABS(D20*E20)^2)</f>
        <v>7.5894663844041101</v>
      </c>
      <c r="I22" s="13"/>
    </row>
    <row r="23" spans="1:9" ht="12.75" customHeight="1">
      <c r="C23" s="13"/>
      <c r="D23" s="13"/>
      <c r="E23" s="13"/>
      <c r="F23" s="13"/>
      <c r="G23" s="13"/>
      <c r="H23" s="13"/>
      <c r="I23" s="13"/>
    </row>
    <row r="24" spans="1:9" ht="12.75" customHeight="1">
      <c r="A24" s="7" t="s">
        <v>25</v>
      </c>
      <c r="B24" s="7"/>
      <c r="C24" s="13"/>
      <c r="D24" s="13"/>
      <c r="E24" s="13"/>
      <c r="F24" s="13"/>
      <c r="G24" s="13"/>
      <c r="H24" s="13"/>
      <c r="I24" s="13"/>
    </row>
    <row r="25" spans="1:9" ht="12.75" customHeight="1">
      <c r="A25" s="8" t="s">
        <v>4</v>
      </c>
      <c r="B25" s="8" t="s">
        <v>5</v>
      </c>
      <c r="C25" s="8" t="s">
        <v>6</v>
      </c>
      <c r="D25" s="8" t="s">
        <v>7</v>
      </c>
      <c r="E25" s="8" t="s">
        <v>8</v>
      </c>
      <c r="F25" s="8" t="s">
        <v>9</v>
      </c>
      <c r="G25" s="8" t="s">
        <v>4</v>
      </c>
      <c r="H25" s="8" t="s">
        <v>5</v>
      </c>
    </row>
    <row r="26" spans="1:9" ht="12.75" customHeight="1">
      <c r="A26" s="9" t="s">
        <v>26</v>
      </c>
      <c r="B26" s="9" t="s">
        <v>27</v>
      </c>
      <c r="C26" s="10">
        <v>12</v>
      </c>
      <c r="D26" s="10">
        <v>0.8</v>
      </c>
      <c r="E26" s="10">
        <v>6</v>
      </c>
      <c r="F26" s="10">
        <v>0.8</v>
      </c>
      <c r="G26" s="11">
        <f>C26/E26</f>
        <v>2</v>
      </c>
      <c r="H26" s="12">
        <f>ABS(-1*C26*F26/E26^2)+ABS(D26/E26)</f>
        <v>0.4</v>
      </c>
    </row>
    <row r="27" spans="1:9" ht="12.75" customHeight="1">
      <c r="B27" s="8" t="s">
        <v>12</v>
      </c>
      <c r="C27" s="13"/>
      <c r="D27" s="13"/>
      <c r="E27" s="13"/>
      <c r="F27" s="13"/>
      <c r="G27" s="13"/>
      <c r="H27" s="8" t="s">
        <v>12</v>
      </c>
      <c r="I27" s="13"/>
    </row>
    <row r="28" spans="1:9" ht="12.75" customHeight="1">
      <c r="B28" s="9" t="s">
        <v>28</v>
      </c>
      <c r="C28" s="13"/>
      <c r="D28" s="13"/>
      <c r="E28" s="13"/>
      <c r="F28" s="13"/>
      <c r="G28" s="13"/>
      <c r="H28" s="12">
        <f>SQRT(ABS(-1*C26*F26/E26^2)^2+ABS(D26/E26)^2)</f>
        <v>0.29814239699997203</v>
      </c>
      <c r="I28" s="13"/>
    </row>
    <row r="29" spans="1:9" ht="12.75" customHeight="1">
      <c r="C29" s="13"/>
      <c r="D29" s="13"/>
      <c r="E29" s="13"/>
      <c r="F29" s="13"/>
      <c r="G29" s="13"/>
      <c r="H29" s="13"/>
      <c r="I29" s="13"/>
    </row>
    <row r="30" spans="1:9" ht="12.75" customHeight="1">
      <c r="A30" s="7" t="s">
        <v>29</v>
      </c>
      <c r="B30" s="7" t="s">
        <v>30</v>
      </c>
      <c r="C30" s="13"/>
      <c r="D30" s="13"/>
      <c r="E30" s="13"/>
      <c r="F30" s="13"/>
      <c r="G30" s="13"/>
      <c r="H30" s="13"/>
      <c r="I30" s="13"/>
    </row>
    <row r="31" spans="1:9" ht="12.75" customHeight="1">
      <c r="A31" s="8" t="s">
        <v>15</v>
      </c>
      <c r="B31" s="8" t="s">
        <v>16</v>
      </c>
      <c r="C31" s="8" t="s">
        <v>6</v>
      </c>
      <c r="D31" s="8" t="s">
        <v>7</v>
      </c>
      <c r="E31" s="8"/>
      <c r="F31" s="8"/>
      <c r="G31" s="8" t="s">
        <v>15</v>
      </c>
      <c r="H31" s="8" t="s">
        <v>16</v>
      </c>
      <c r="I31" s="13"/>
    </row>
    <row r="32" spans="1:9" ht="12.75" customHeight="1">
      <c r="A32" s="9" t="s">
        <v>31</v>
      </c>
      <c r="B32" s="9" t="s">
        <v>32</v>
      </c>
      <c r="C32" s="14">
        <v>0.88</v>
      </c>
      <c r="D32" s="14">
        <v>0.01</v>
      </c>
      <c r="E32" s="9"/>
      <c r="F32" s="9"/>
      <c r="G32" s="15">
        <f>SIN(C32)</f>
        <v>0.7707388788989693</v>
      </c>
      <c r="H32" s="16">
        <f>ABS(COS(C32)*D32)</f>
        <v>6.371511441985802E-3</v>
      </c>
      <c r="I32" s="13"/>
    </row>
    <row r="33" spans="1:9" ht="12.75" customHeight="1">
      <c r="C33" s="13"/>
      <c r="D33" s="13"/>
      <c r="E33" s="13"/>
      <c r="F33" s="13"/>
      <c r="G33" s="13"/>
      <c r="H33" s="13"/>
      <c r="I33" s="13"/>
    </row>
    <row r="34" spans="1:9" ht="12.75" customHeight="1">
      <c r="A34" s="7" t="s">
        <v>29</v>
      </c>
      <c r="B34" s="7" t="s">
        <v>30</v>
      </c>
      <c r="C34" s="13"/>
      <c r="D34" s="13"/>
      <c r="E34" s="13"/>
      <c r="F34" s="13"/>
      <c r="G34" s="13"/>
      <c r="H34" s="13"/>
      <c r="I34" s="13"/>
    </row>
    <row r="35" spans="1:9" ht="12.75" customHeight="1">
      <c r="A35" s="8" t="s">
        <v>15</v>
      </c>
      <c r="B35" s="8" t="s">
        <v>16</v>
      </c>
      <c r="C35" s="8" t="s">
        <v>6</v>
      </c>
      <c r="D35" s="8" t="s">
        <v>7</v>
      </c>
      <c r="E35" s="8"/>
      <c r="F35" s="8"/>
      <c r="G35" s="8" t="s">
        <v>15</v>
      </c>
      <c r="H35" s="8" t="s">
        <v>16</v>
      </c>
      <c r="I35" s="13"/>
    </row>
    <row r="36" spans="1:9" ht="12.75" customHeight="1">
      <c r="A36" s="9" t="s">
        <v>33</v>
      </c>
      <c r="B36" s="9" t="s">
        <v>34</v>
      </c>
      <c r="C36" s="14">
        <v>0.77</v>
      </c>
      <c r="D36" s="14">
        <v>0.03</v>
      </c>
      <c r="E36" s="9"/>
      <c r="F36" s="9"/>
      <c r="G36" s="15">
        <f>ASIN(C36)</f>
        <v>0.87884115166857979</v>
      </c>
      <c r="H36" s="16">
        <f>ABS(D36/SQRT(1-C36^2))</f>
        <v>4.7018709332201238E-2</v>
      </c>
      <c r="I36" s="13"/>
    </row>
    <row r="37" spans="1:9" ht="12.75" customHeight="1">
      <c r="C37" s="13"/>
      <c r="D37" s="13"/>
      <c r="E37" s="13"/>
      <c r="F37" s="13"/>
      <c r="G37" s="13"/>
      <c r="H37" s="13"/>
      <c r="I37" s="13"/>
    </row>
    <row r="38" spans="1:9" ht="12.75" customHeight="1">
      <c r="A38" s="7" t="s">
        <v>29</v>
      </c>
      <c r="B38" s="7" t="s">
        <v>30</v>
      </c>
      <c r="C38" s="13"/>
      <c r="D38" s="13"/>
      <c r="E38" s="13"/>
      <c r="F38" s="13"/>
      <c r="G38" s="13"/>
      <c r="H38" s="13"/>
      <c r="I38" s="13"/>
    </row>
    <row r="39" spans="1:9" ht="12.75" customHeight="1">
      <c r="A39" s="8" t="s">
        <v>15</v>
      </c>
      <c r="B39" s="8" t="s">
        <v>16</v>
      </c>
      <c r="C39" s="8" t="s">
        <v>6</v>
      </c>
      <c r="D39" s="8" t="s">
        <v>7</v>
      </c>
      <c r="E39" s="8"/>
      <c r="F39" s="8"/>
      <c r="G39" s="8" t="s">
        <v>15</v>
      </c>
      <c r="H39" s="8" t="s">
        <v>16</v>
      </c>
      <c r="I39" s="13"/>
    </row>
    <row r="40" spans="1:9" ht="12.75" customHeight="1">
      <c r="A40" s="9" t="s">
        <v>35</v>
      </c>
      <c r="B40" s="9" t="s">
        <v>36</v>
      </c>
      <c r="C40" s="14">
        <v>0.55000000000000004</v>
      </c>
      <c r="D40" s="14">
        <v>0.08</v>
      </c>
      <c r="E40" s="9"/>
      <c r="F40" s="9"/>
      <c r="G40" s="15">
        <f>COS(C40)</f>
        <v>0.85252452205950568</v>
      </c>
      <c r="H40" s="16">
        <f>ABS(-SIN(C40)*D40)</f>
        <v>4.1814978314452737E-2</v>
      </c>
      <c r="I40" s="13"/>
    </row>
    <row r="41" spans="1:9" ht="12.75" customHeight="1">
      <c r="C41" s="13"/>
      <c r="D41" s="13"/>
      <c r="E41" s="13"/>
      <c r="F41" s="13"/>
      <c r="G41" s="13"/>
      <c r="H41" s="13"/>
      <c r="I41" s="13"/>
    </row>
    <row r="42" spans="1:9" ht="12.75" customHeight="1">
      <c r="A42" s="7" t="s">
        <v>29</v>
      </c>
      <c r="B42" s="7" t="s">
        <v>30</v>
      </c>
      <c r="C42" s="13"/>
      <c r="D42" s="13"/>
      <c r="E42" s="13"/>
      <c r="F42" s="13"/>
      <c r="G42" s="13"/>
      <c r="H42" s="13"/>
      <c r="I42" s="13"/>
    </row>
    <row r="43" spans="1:9" ht="12.75" customHeight="1">
      <c r="A43" s="8" t="s">
        <v>15</v>
      </c>
      <c r="B43" s="8" t="s">
        <v>16</v>
      </c>
      <c r="C43" s="8" t="s">
        <v>6</v>
      </c>
      <c r="D43" s="8" t="s">
        <v>7</v>
      </c>
      <c r="E43" s="8"/>
      <c r="F43" s="8"/>
      <c r="G43" s="8" t="s">
        <v>15</v>
      </c>
      <c r="H43" s="8" t="s">
        <v>16</v>
      </c>
      <c r="I43" s="13"/>
    </row>
    <row r="44" spans="1:9" ht="12.75" customHeight="1">
      <c r="A44" s="9" t="s">
        <v>37</v>
      </c>
      <c r="B44" s="9" t="s">
        <v>38</v>
      </c>
      <c r="C44" s="14">
        <v>0.97499999999999998</v>
      </c>
      <c r="D44" s="14">
        <v>7.0000000000000001E-3</v>
      </c>
      <c r="E44" s="9"/>
      <c r="F44" s="9"/>
      <c r="G44" s="15">
        <f>ACOS(C44)</f>
        <v>0.2240752853018193</v>
      </c>
      <c r="H44" s="16">
        <f>ABS(-D44/SQRT(1-C44^2))</f>
        <v>3.1502461225928653E-2</v>
      </c>
      <c r="I44" s="13"/>
    </row>
    <row r="45" spans="1:9" ht="12.75" customHeight="1">
      <c r="C45" s="13"/>
      <c r="D45" s="13"/>
      <c r="E45" s="13"/>
      <c r="F45" s="13"/>
      <c r="G45" s="13"/>
      <c r="H45" s="13"/>
      <c r="I45" s="13"/>
    </row>
    <row r="46" spans="1:9" ht="12.75" customHeight="1">
      <c r="A46" s="7" t="s">
        <v>39</v>
      </c>
      <c r="B46" s="7"/>
      <c r="C46" s="13"/>
      <c r="D46" s="13"/>
      <c r="E46" s="13"/>
      <c r="F46" s="13"/>
      <c r="G46" s="13"/>
      <c r="H46" s="13"/>
      <c r="I46" s="13"/>
    </row>
    <row r="47" spans="1:9" ht="12.75" customHeight="1">
      <c r="A47" s="8" t="s">
        <v>15</v>
      </c>
      <c r="B47" s="8" t="s">
        <v>16</v>
      </c>
      <c r="C47" s="8" t="s">
        <v>6</v>
      </c>
      <c r="D47" s="8" t="s">
        <v>7</v>
      </c>
      <c r="E47" s="8"/>
      <c r="F47" s="8"/>
      <c r="G47" s="8" t="s">
        <v>15</v>
      </c>
      <c r="H47" s="8" t="s">
        <v>16</v>
      </c>
      <c r="I47" s="13"/>
    </row>
    <row r="48" spans="1:9" ht="12.75" customHeight="1">
      <c r="A48" s="9" t="s">
        <v>40</v>
      </c>
      <c r="B48" s="9" t="s">
        <v>41</v>
      </c>
      <c r="C48" s="14">
        <v>3.25</v>
      </c>
      <c r="D48" s="14">
        <v>0.15</v>
      </c>
      <c r="E48" s="9"/>
      <c r="F48" s="9"/>
      <c r="G48" s="15">
        <f>EXP(C48)</f>
        <v>25.790339917193062</v>
      </c>
      <c r="H48" s="16">
        <f>ABS(EXP(C48)*D48)</f>
        <v>3.868550987578959</v>
      </c>
      <c r="I48" s="13"/>
    </row>
    <row r="49" spans="1:9" ht="12.75" customHeight="1">
      <c r="C49" s="13"/>
      <c r="D49" s="13"/>
      <c r="E49" s="13"/>
      <c r="F49" s="13"/>
      <c r="G49" s="13"/>
      <c r="H49" s="13"/>
      <c r="I49" s="13"/>
    </row>
    <row r="50" spans="1:9" ht="12.75" customHeight="1">
      <c r="A50" s="7" t="s">
        <v>42</v>
      </c>
      <c r="B50" s="7"/>
      <c r="C50" s="13"/>
      <c r="D50" s="13"/>
      <c r="E50" s="13"/>
      <c r="F50" s="13"/>
      <c r="G50" s="13"/>
      <c r="H50" s="13"/>
      <c r="I50" s="13"/>
    </row>
    <row r="51" spans="1:9" ht="12.75" customHeight="1">
      <c r="A51" s="8" t="s">
        <v>15</v>
      </c>
      <c r="B51" s="8" t="s">
        <v>16</v>
      </c>
      <c r="C51" s="8" t="s">
        <v>6</v>
      </c>
      <c r="D51" s="8" t="s">
        <v>7</v>
      </c>
      <c r="E51" s="8"/>
      <c r="F51" s="8"/>
      <c r="G51" s="8" t="s">
        <v>15</v>
      </c>
      <c r="H51" s="8" t="s">
        <v>16</v>
      </c>
      <c r="I51" s="13"/>
    </row>
    <row r="52" spans="1:9" ht="12.75" customHeight="1">
      <c r="A52" s="9" t="s">
        <v>43</v>
      </c>
      <c r="B52" s="9" t="s">
        <v>44</v>
      </c>
      <c r="C52" s="14">
        <v>2.37</v>
      </c>
      <c r="D52" s="14">
        <v>0.05</v>
      </c>
      <c r="E52" s="9"/>
      <c r="F52" s="9"/>
      <c r="G52" s="15">
        <f>LN(C52)</f>
        <v>0.86288995514703981</v>
      </c>
      <c r="H52" s="16">
        <f>ABS(D52/C52)</f>
        <v>2.1097046413502109E-2</v>
      </c>
      <c r="I52" s="13"/>
    </row>
    <row r="53" spans="1:9" ht="12.75" customHeight="1">
      <c r="C53" s="13"/>
      <c r="D53" s="13"/>
      <c r="E53" s="13"/>
      <c r="F53" s="13"/>
      <c r="G53" s="13"/>
      <c r="H53" s="13"/>
      <c r="I53" s="13"/>
    </row>
    <row r="54" spans="1:9" ht="12.75" customHeight="1">
      <c r="A54" s="7" t="s">
        <v>45</v>
      </c>
      <c r="B54" s="7"/>
      <c r="C54" s="13"/>
      <c r="D54" s="13"/>
      <c r="E54" s="13"/>
      <c r="F54" s="13"/>
      <c r="G54" s="13"/>
      <c r="H54" s="13"/>
      <c r="I54" s="13"/>
    </row>
    <row r="55" spans="1:9" ht="12.75" customHeight="1">
      <c r="A55" s="8" t="s">
        <v>15</v>
      </c>
      <c r="B55" s="8" t="s">
        <v>16</v>
      </c>
      <c r="C55" s="8" t="s">
        <v>6</v>
      </c>
      <c r="D55" s="8" t="s">
        <v>7</v>
      </c>
      <c r="E55" s="8"/>
      <c r="F55" s="8"/>
      <c r="G55" s="8" t="s">
        <v>15</v>
      </c>
      <c r="H55" s="8" t="s">
        <v>16</v>
      </c>
      <c r="I55" s="13"/>
    </row>
    <row r="56" spans="1:9" ht="12.75" customHeight="1">
      <c r="A56" s="9" t="s">
        <v>46</v>
      </c>
      <c r="B56" s="9" t="s">
        <v>47</v>
      </c>
      <c r="C56" s="14">
        <v>12.63</v>
      </c>
      <c r="D56" s="14">
        <v>0.02</v>
      </c>
      <c r="E56" s="9"/>
      <c r="F56" s="9"/>
      <c r="G56" s="15">
        <f>10^(C56/10)</f>
        <v>18.323144223712131</v>
      </c>
      <c r="H56" s="16">
        <f>ABS(LN(10)*10^(C56/10)*D56/10)</f>
        <v>8.4381197492599022E-2</v>
      </c>
      <c r="I56" s="17" t="s">
        <v>48</v>
      </c>
    </row>
    <row r="57" spans="1:9" ht="12.75" customHeight="1">
      <c r="B57" s="9" t="s">
        <v>49</v>
      </c>
      <c r="C57" s="13"/>
      <c r="D57" s="13"/>
      <c r="E57" s="13"/>
      <c r="F57" s="13"/>
      <c r="G57" s="13"/>
      <c r="H57" s="12">
        <f>ABS(LN(10)*10^(C56/10-1)*D56)</f>
        <v>8.4381197492598967E-2</v>
      </c>
      <c r="I57" s="17" t="s">
        <v>50</v>
      </c>
    </row>
    <row r="58" spans="1:9" ht="12.75" customHeight="1">
      <c r="B58" s="9" t="s">
        <v>51</v>
      </c>
      <c r="C58" s="13"/>
      <c r="G58" s="13"/>
      <c r="H58" s="12">
        <f>ABS(10^(C56/10-1)*D56/LOG10(EXP(1)))</f>
        <v>8.4381197492598981E-2</v>
      </c>
      <c r="I58" s="17" t="s">
        <v>52</v>
      </c>
    </row>
    <row r="59" spans="1:9" ht="12.75" customHeight="1">
      <c r="C59" s="13"/>
      <c r="G59" s="13"/>
      <c r="H59" s="18"/>
    </row>
    <row r="60" spans="1:9" ht="12.75" customHeight="1">
      <c r="A60" s="7" t="s">
        <v>53</v>
      </c>
      <c r="B60" s="7"/>
      <c r="C60" s="13"/>
      <c r="D60" s="13"/>
      <c r="E60" s="13"/>
      <c r="F60" s="13"/>
      <c r="G60" s="13"/>
      <c r="H60" s="13"/>
      <c r="I60" s="13"/>
    </row>
    <row r="61" spans="1:9" ht="12.75" customHeight="1">
      <c r="A61" s="8" t="s">
        <v>15</v>
      </c>
      <c r="B61" s="8" t="s">
        <v>16</v>
      </c>
      <c r="C61" s="8" t="s">
        <v>6</v>
      </c>
      <c r="D61" s="8" t="s">
        <v>7</v>
      </c>
      <c r="E61" s="8"/>
      <c r="F61" s="8"/>
      <c r="G61" s="8" t="s">
        <v>15</v>
      </c>
      <c r="H61" s="8" t="s">
        <v>16</v>
      </c>
      <c r="I61" s="13"/>
    </row>
    <row r="62" spans="1:9" ht="12.75" customHeight="1">
      <c r="A62" s="9" t="s">
        <v>54</v>
      </c>
      <c r="B62" s="9" t="s">
        <v>55</v>
      </c>
      <c r="C62" s="14">
        <v>18.32</v>
      </c>
      <c r="D62" s="14">
        <v>0.8</v>
      </c>
      <c r="E62" s="9"/>
      <c r="F62" s="9"/>
      <c r="G62" s="15">
        <f>10*LOG10(C62)</f>
        <v>12.629254693318316</v>
      </c>
      <c r="H62" s="16">
        <f>ABS(10*D62/(LN(10)*C62))</f>
        <v>0.18964824537259903</v>
      </c>
      <c r="I62" s="17" t="s">
        <v>48</v>
      </c>
    </row>
    <row r="63" spans="1:9" ht="12.75" customHeight="1">
      <c r="B63" s="9" t="s">
        <v>56</v>
      </c>
      <c r="C63" s="13"/>
      <c r="D63" s="13"/>
      <c r="E63" s="13"/>
      <c r="F63" s="13"/>
      <c r="G63" s="13"/>
      <c r="H63" s="12">
        <f>ABS(10*LOG10(EXP(1))*D62/C62)</f>
        <v>0.18964824537259906</v>
      </c>
      <c r="I63" s="17" t="s">
        <v>50</v>
      </c>
    </row>
    <row r="64" spans="1:9" ht="12.75" customHeight="1">
      <c r="C64" s="13"/>
      <c r="D64" s="13"/>
      <c r="E64" s="13"/>
      <c r="F64" s="13"/>
      <c r="G64" s="13"/>
      <c r="H64" s="13"/>
      <c r="I64" s="13"/>
    </row>
    <row r="65" spans="1:9" ht="12.75" customHeight="1">
      <c r="C65" s="13"/>
      <c r="D65" s="13"/>
      <c r="E65" s="13"/>
      <c r="F65" s="13"/>
      <c r="G65" s="13"/>
      <c r="H65" s="13"/>
      <c r="I65" s="13"/>
    </row>
    <row r="66" spans="1:9" ht="12.75" customHeight="1">
      <c r="C66" s="13"/>
      <c r="D66" s="13"/>
      <c r="E66" s="13"/>
      <c r="F66" s="13"/>
      <c r="G66" s="13"/>
      <c r="H66" s="13"/>
      <c r="I66" s="13"/>
    </row>
    <row r="67" spans="1:9" ht="12.75" customHeight="1">
      <c r="C67" s="13"/>
      <c r="D67" s="13"/>
      <c r="E67" s="13"/>
      <c r="F67" s="13"/>
      <c r="G67" s="13"/>
      <c r="H67" s="13"/>
      <c r="I67" s="13"/>
    </row>
    <row r="68" spans="1:9" ht="12.75" customHeight="1">
      <c r="A68" s="19" t="s">
        <v>57</v>
      </c>
      <c r="C68" s="13"/>
      <c r="D68" s="13"/>
      <c r="E68" s="13"/>
      <c r="F68" s="13"/>
      <c r="G68" s="13"/>
      <c r="H68" s="13"/>
      <c r="I68" s="13"/>
    </row>
    <row r="69" spans="1:9" ht="12.75" customHeight="1">
      <c r="C69" s="13"/>
      <c r="D69" s="13"/>
      <c r="E69" s="13"/>
      <c r="F69" s="13"/>
      <c r="G69" s="13"/>
      <c r="H69" s="13"/>
      <c r="I69" s="13"/>
    </row>
    <row r="70" spans="1:9" ht="12.75" customHeight="1">
      <c r="C70" s="13"/>
      <c r="D70" s="13"/>
      <c r="E70" s="13"/>
      <c r="F70" s="13"/>
      <c r="G70" s="13"/>
      <c r="H70" s="13"/>
      <c r="I70" s="13"/>
    </row>
    <row r="71" spans="1:9" ht="12.75" customHeight="1">
      <c r="C71" s="13"/>
      <c r="D71" s="13"/>
      <c r="E71" s="13"/>
      <c r="F71" s="13"/>
      <c r="G71" s="13"/>
      <c r="H71" s="13"/>
      <c r="I71" s="13"/>
    </row>
    <row r="72" spans="1:9" ht="12.75" customHeight="1">
      <c r="C72" s="13"/>
      <c r="D72" s="13"/>
      <c r="E72" s="13"/>
      <c r="F72" s="13"/>
      <c r="G72" s="13"/>
      <c r="H72" s="13"/>
      <c r="I72" s="13"/>
    </row>
    <row r="73" spans="1:9" ht="12.75" customHeight="1">
      <c r="C73" s="13"/>
      <c r="D73" s="13"/>
      <c r="E73" s="13"/>
      <c r="F73" s="13"/>
      <c r="G73" s="13"/>
      <c r="H73" s="13"/>
      <c r="I73" s="13"/>
    </row>
    <row r="74" spans="1:9" ht="12.75" customHeight="1">
      <c r="C74" s="13"/>
      <c r="D74" s="13"/>
      <c r="E74" s="13"/>
      <c r="F74" s="13"/>
      <c r="G74" s="13"/>
      <c r="H74" s="13"/>
      <c r="I74" s="13"/>
    </row>
    <row r="75" spans="1:9" ht="12.75" customHeight="1">
      <c r="C75" s="13"/>
      <c r="D75" s="13"/>
      <c r="E75" s="13"/>
      <c r="F75" s="13"/>
      <c r="G75" s="13"/>
      <c r="H75" s="13"/>
      <c r="I75" s="13"/>
    </row>
    <row r="76" spans="1:9" ht="12.75" customHeight="1">
      <c r="C76" s="13"/>
      <c r="D76" s="13"/>
      <c r="E76" s="13"/>
      <c r="F76" s="13"/>
      <c r="G76" s="13"/>
      <c r="H76" s="13"/>
      <c r="I76" s="13"/>
    </row>
    <row r="77" spans="1:9" ht="12.75" customHeight="1">
      <c r="C77" s="13"/>
      <c r="D77" s="13"/>
      <c r="E77" s="13"/>
      <c r="F77" s="13"/>
      <c r="G77" s="13"/>
      <c r="H77" s="13"/>
      <c r="I77" s="13"/>
    </row>
    <row r="78" spans="1:9" ht="12.75" customHeight="1">
      <c r="C78" s="13"/>
      <c r="D78" s="13"/>
      <c r="E78" s="13"/>
      <c r="F78" s="13"/>
      <c r="G78" s="13"/>
      <c r="H78" s="13"/>
      <c r="I78" s="13"/>
    </row>
    <row r="79" spans="1:9" ht="12.75" customHeight="1">
      <c r="C79" s="13"/>
      <c r="D79" s="13"/>
      <c r="E79" s="13"/>
      <c r="F79" s="13"/>
      <c r="G79" s="13"/>
      <c r="H79" s="13"/>
      <c r="I79" s="13"/>
    </row>
    <row r="80" spans="1:9" ht="12.75" customHeight="1">
      <c r="C80" s="13"/>
      <c r="D80" s="13"/>
      <c r="E80" s="13"/>
      <c r="F80" s="13"/>
      <c r="G80" s="13"/>
      <c r="H80" s="13"/>
      <c r="I80" s="13"/>
    </row>
    <row r="81" spans="3:9" ht="12.75" customHeight="1">
      <c r="C81" s="13"/>
      <c r="D81" s="13"/>
      <c r="E81" s="13"/>
      <c r="F81" s="13"/>
      <c r="G81" s="13"/>
      <c r="H81" s="13"/>
      <c r="I81" s="13"/>
    </row>
    <row r="82" spans="3:9" ht="12.75" customHeight="1">
      <c r="C82" s="13"/>
      <c r="D82" s="13"/>
      <c r="E82" s="13"/>
      <c r="F82" s="13"/>
      <c r="G82" s="13"/>
      <c r="H82" s="13"/>
      <c r="I82" s="13"/>
    </row>
    <row r="83" spans="3:9" ht="12.75" customHeight="1">
      <c r="C83" s="13"/>
      <c r="D83" s="13"/>
      <c r="E83" s="13"/>
      <c r="F83" s="13"/>
      <c r="G83" s="13"/>
      <c r="H83" s="13"/>
      <c r="I83" s="13"/>
    </row>
    <row r="84" spans="3:9" ht="12.75" customHeight="1">
      <c r="C84" s="13"/>
      <c r="D84" s="13"/>
      <c r="E84" s="13"/>
      <c r="F84" s="13"/>
      <c r="G84" s="13"/>
      <c r="H84" s="13"/>
      <c r="I84" s="13"/>
    </row>
    <row r="85" spans="3:9" ht="12.75" customHeight="1">
      <c r="C85" s="13"/>
      <c r="D85" s="13"/>
      <c r="E85" s="13"/>
      <c r="F85" s="13"/>
      <c r="G85" s="13"/>
      <c r="H85" s="13"/>
      <c r="I85" s="13"/>
    </row>
    <row r="86" spans="3:9" ht="12.75" customHeight="1">
      <c r="C86" s="13"/>
      <c r="D86" s="13"/>
      <c r="E86" s="13"/>
      <c r="F86" s="13"/>
      <c r="G86" s="13"/>
      <c r="H86" s="13"/>
      <c r="I86" s="13"/>
    </row>
    <row r="87" spans="3:9" ht="12.75" customHeight="1">
      <c r="C87" s="13"/>
      <c r="D87" s="13"/>
      <c r="E87" s="13"/>
      <c r="F87" s="13"/>
      <c r="G87" s="13"/>
      <c r="H87" s="13"/>
      <c r="I87" s="13"/>
    </row>
    <row r="88" spans="3:9" ht="12.75" customHeight="1">
      <c r="C88" s="13"/>
      <c r="D88" s="13"/>
      <c r="E88" s="13"/>
      <c r="F88" s="13"/>
      <c r="G88" s="13"/>
      <c r="H88" s="13"/>
      <c r="I88" s="13"/>
    </row>
    <row r="89" spans="3:9" ht="12.75" customHeight="1">
      <c r="C89" s="13"/>
      <c r="D89" s="13"/>
      <c r="E89" s="13"/>
      <c r="F89" s="13"/>
      <c r="G89" s="13"/>
      <c r="H89" s="13"/>
      <c r="I89" s="13"/>
    </row>
    <row r="90" spans="3:9" ht="12.75" customHeight="1">
      <c r="C90" s="13"/>
      <c r="D90" s="13"/>
      <c r="E90" s="13"/>
      <c r="F90" s="13"/>
      <c r="G90" s="13"/>
      <c r="H90" s="13"/>
      <c r="I90" s="13"/>
    </row>
    <row r="91" spans="3:9" ht="12.75" customHeight="1">
      <c r="C91" s="13"/>
      <c r="D91" s="13"/>
      <c r="E91" s="13"/>
      <c r="F91" s="13"/>
      <c r="G91" s="13"/>
      <c r="H91" s="13"/>
      <c r="I91" s="13"/>
    </row>
    <row r="92" spans="3:9" ht="12.75" customHeight="1">
      <c r="C92" s="13"/>
      <c r="D92" s="13"/>
      <c r="E92" s="13"/>
      <c r="F92" s="13"/>
      <c r="G92" s="13"/>
      <c r="H92" s="13"/>
      <c r="I92" s="13"/>
    </row>
    <row r="93" spans="3:9" ht="12.75" customHeight="1">
      <c r="C93" s="13"/>
      <c r="D93" s="13"/>
      <c r="E93" s="13"/>
      <c r="F93" s="13"/>
      <c r="G93" s="13"/>
      <c r="H93" s="13"/>
      <c r="I93" s="13"/>
    </row>
    <row r="94" spans="3:9" ht="12.75" customHeight="1">
      <c r="C94" s="13"/>
      <c r="D94" s="13"/>
      <c r="E94" s="13"/>
      <c r="F94" s="13"/>
      <c r="G94" s="13"/>
      <c r="H94" s="13"/>
      <c r="I94" s="13"/>
    </row>
    <row r="95" spans="3:9" ht="12.75" customHeight="1">
      <c r="C95" s="13"/>
      <c r="D95" s="13"/>
      <c r="E95" s="13"/>
      <c r="F95" s="13"/>
      <c r="G95" s="13"/>
      <c r="H95" s="13"/>
      <c r="I95" s="13"/>
    </row>
    <row r="96" spans="3:9" ht="12.75" customHeight="1">
      <c r="C96" s="13"/>
      <c r="D96" s="13"/>
      <c r="E96" s="13"/>
      <c r="F96" s="13"/>
      <c r="G96" s="13"/>
      <c r="H96" s="13"/>
      <c r="I96" s="13"/>
    </row>
    <row r="97" spans="3:9" ht="12.75" customHeight="1">
      <c r="C97" s="13"/>
      <c r="D97" s="13"/>
      <c r="E97" s="13"/>
      <c r="F97" s="13"/>
      <c r="G97" s="13"/>
      <c r="H97" s="13"/>
      <c r="I97" s="13"/>
    </row>
    <row r="98" spans="3:9" ht="12.75" customHeight="1">
      <c r="C98" s="13"/>
      <c r="D98" s="13"/>
      <c r="E98" s="13"/>
      <c r="F98" s="13"/>
      <c r="G98" s="13"/>
      <c r="H98" s="13"/>
      <c r="I98" s="13"/>
    </row>
    <row r="99" spans="3:9" ht="12.75" customHeight="1">
      <c r="C99" s="13"/>
      <c r="D99" s="13"/>
      <c r="E99" s="13"/>
      <c r="F99" s="13"/>
      <c r="G99" s="13"/>
      <c r="H99" s="13"/>
      <c r="I99" s="13"/>
    </row>
    <row r="100" spans="3:9" ht="12.75" customHeight="1">
      <c r="C100" s="13"/>
      <c r="D100" s="13"/>
      <c r="E100" s="13"/>
      <c r="F100" s="13"/>
      <c r="G100" s="13"/>
      <c r="H100" s="13"/>
      <c r="I100" s="13"/>
    </row>
    <row r="101" spans="3:9" ht="12.75" customHeight="1">
      <c r="C101" s="13"/>
      <c r="D101" s="13"/>
      <c r="E101" s="13"/>
      <c r="F101" s="13"/>
      <c r="G101" s="13"/>
      <c r="H101" s="13"/>
      <c r="I101" s="13"/>
    </row>
    <row r="102" spans="3:9" ht="12.75" customHeight="1">
      <c r="C102" s="13"/>
      <c r="D102" s="13"/>
      <c r="E102" s="13"/>
      <c r="F102" s="13"/>
      <c r="G102" s="13"/>
      <c r="H102" s="13"/>
      <c r="I102" s="13"/>
    </row>
    <row r="103" spans="3:9" ht="12.75" customHeight="1">
      <c r="C103" s="13"/>
      <c r="D103" s="13"/>
      <c r="E103" s="13"/>
      <c r="F103" s="13"/>
      <c r="G103" s="13"/>
      <c r="H103" s="13"/>
      <c r="I103" s="13"/>
    </row>
    <row r="104" spans="3:9" ht="12.75" customHeight="1">
      <c r="C104" s="13"/>
      <c r="D104" s="13"/>
      <c r="E104" s="13"/>
      <c r="F104" s="13"/>
      <c r="G104" s="13"/>
      <c r="H104" s="13"/>
      <c r="I104" s="13"/>
    </row>
    <row r="105" spans="3:9" ht="12.75" customHeight="1">
      <c r="C105" s="13"/>
      <c r="D105" s="13"/>
      <c r="E105" s="13"/>
      <c r="F105" s="13"/>
      <c r="G105" s="13"/>
      <c r="H105" s="13"/>
      <c r="I105" s="13"/>
    </row>
    <row r="106" spans="3:9" ht="12.75" customHeight="1">
      <c r="C106" s="13"/>
      <c r="D106" s="13"/>
      <c r="E106" s="13"/>
      <c r="F106" s="13"/>
      <c r="G106" s="13"/>
      <c r="H106" s="13"/>
      <c r="I106" s="13"/>
    </row>
    <row r="107" spans="3:9" ht="12.75" customHeight="1">
      <c r="C107" s="13"/>
      <c r="D107" s="13"/>
      <c r="E107" s="13"/>
      <c r="F107" s="13"/>
      <c r="G107" s="13"/>
      <c r="H107" s="13"/>
      <c r="I107" s="13"/>
    </row>
    <row r="108" spans="3:9" ht="12.75" customHeight="1">
      <c r="C108" s="13"/>
      <c r="D108" s="13"/>
      <c r="E108" s="13"/>
      <c r="F108" s="13"/>
      <c r="G108" s="13"/>
      <c r="H108" s="13"/>
      <c r="I108" s="13"/>
    </row>
    <row r="109" spans="3:9" ht="12.75" customHeight="1">
      <c r="C109" s="13"/>
      <c r="D109" s="13"/>
      <c r="E109" s="13"/>
      <c r="F109" s="13"/>
      <c r="G109" s="13"/>
      <c r="H109" s="13"/>
      <c r="I109" s="13"/>
    </row>
    <row r="110" spans="3:9" ht="12.75" customHeight="1">
      <c r="C110" s="13"/>
      <c r="D110" s="13"/>
      <c r="E110" s="13"/>
      <c r="F110" s="13"/>
      <c r="G110" s="13"/>
      <c r="H110" s="13"/>
      <c r="I110" s="13"/>
    </row>
    <row r="111" spans="3:9" ht="12.75" customHeight="1">
      <c r="C111" s="13"/>
      <c r="D111" s="13"/>
      <c r="E111" s="13"/>
      <c r="F111" s="13"/>
      <c r="G111" s="13"/>
      <c r="H111" s="13"/>
      <c r="I111" s="13"/>
    </row>
  </sheetData>
  <hyperlinks>
    <hyperlink ref="A68" location="'Analysis - Error Calculations'!A1" display="Top of Pag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rgb="FF00B050"/>
    <pageSetUpPr fitToPage="1"/>
  </sheetPr>
  <dimension ref="A1:L49"/>
  <sheetViews>
    <sheetView showGridLines="0" showRowColHeaders="0" topLeftCell="A13" zoomScale="70" zoomScaleNormal="70" workbookViewId="0">
      <selection activeCell="E23" sqref="E23"/>
    </sheetView>
  </sheetViews>
  <sheetFormatPr defaultColWidth="9" defaultRowHeight="12.75" customHeight="1"/>
  <cols>
    <col min="1" max="1" width="28.5703125" style="3" customWidth="1"/>
    <col min="2" max="3" width="21.42578125" style="3" customWidth="1"/>
    <col min="4" max="4" width="17.140625" style="3" customWidth="1"/>
    <col min="5" max="7" width="28.28515625" style="3" customWidth="1"/>
    <col min="8" max="8" width="17.140625" style="3" customWidth="1"/>
    <col min="9" max="11" width="28.28515625" style="3" customWidth="1"/>
    <col min="12" max="12" width="18" style="3" customWidth="1"/>
    <col min="13" max="16" width="16" style="3" customWidth="1"/>
    <col min="17" max="16384" width="9" style="3"/>
  </cols>
  <sheetData>
    <row r="1" spans="1:12" s="2" customFormat="1" ht="12.75" customHeight="1">
      <c r="A1" s="1" t="str">
        <f ca="1">CONCATENATE(MID(CELL("filename",A1),FIND("]",CELL("filename",A1))+1,255)," - Copyright © 2022 Michael C Maguire P. Eng.")</f>
        <v>Analysis - Error (dB to Linear) - Copyright © 2022 Michael C Maguire P. Eng.</v>
      </c>
      <c r="D1" s="3"/>
    </row>
    <row r="2" spans="1:12" ht="12.75" customHeight="1" thickBot="1">
      <c r="B2" s="20"/>
      <c r="C2" s="21"/>
      <c r="F2" s="22"/>
    </row>
    <row r="3" spans="1:12" ht="12.75" customHeight="1" thickTop="1" thickBot="1">
      <c r="A3" s="3" t="s">
        <v>58</v>
      </c>
      <c r="B3" s="23"/>
      <c r="E3" s="24" t="s">
        <v>59</v>
      </c>
      <c r="F3" s="25" t="s">
        <v>60</v>
      </c>
      <c r="G3" s="26" t="s">
        <v>61</v>
      </c>
      <c r="H3" s="27" t="s">
        <v>62</v>
      </c>
      <c r="I3" s="28" t="s">
        <v>63</v>
      </c>
    </row>
    <row r="4" spans="1:12" ht="12.75" customHeight="1">
      <c r="B4" s="23"/>
    </row>
    <row r="5" spans="1:12" ht="12.75" customHeight="1">
      <c r="A5" s="29"/>
      <c r="B5" s="30" t="s">
        <v>64</v>
      </c>
      <c r="C5" s="30" t="s">
        <v>65</v>
      </c>
      <c r="D5" s="17"/>
      <c r="E5" s="17"/>
      <c r="F5" s="31" t="s">
        <v>66</v>
      </c>
      <c r="G5" s="30" t="s">
        <v>67</v>
      </c>
      <c r="H5" s="30"/>
      <c r="I5" s="17" t="s">
        <v>68</v>
      </c>
      <c r="J5" s="30" t="s">
        <v>64</v>
      </c>
      <c r="K5" s="30" t="s">
        <v>65</v>
      </c>
    </row>
    <row r="6" spans="1:12" ht="12.75" customHeight="1" thickBot="1">
      <c r="A6" s="32"/>
      <c r="B6" s="33" t="s">
        <v>6</v>
      </c>
      <c r="C6" s="34" t="s">
        <v>7</v>
      </c>
      <c r="D6" s="35"/>
      <c r="E6" s="35"/>
      <c r="F6" s="36" t="s">
        <v>46</v>
      </c>
      <c r="G6" s="9" t="s">
        <v>69</v>
      </c>
      <c r="H6" s="35"/>
      <c r="I6" s="35"/>
      <c r="J6" s="9" t="s">
        <v>70</v>
      </c>
      <c r="K6" s="9" t="s">
        <v>71</v>
      </c>
    </row>
    <row r="7" spans="1:12" ht="12.75" customHeight="1" thickBot="1">
      <c r="A7" s="37" t="s">
        <v>72</v>
      </c>
      <c r="B7" s="38">
        <v>3.01</v>
      </c>
      <c r="C7" s="39">
        <v>0.1</v>
      </c>
      <c r="D7" s="35" t="s">
        <v>73</v>
      </c>
      <c r="E7" s="37" t="s">
        <v>74</v>
      </c>
      <c r="F7" s="40">
        <f>10^(B7/10)</f>
        <v>1.9998618696327441</v>
      </c>
      <c r="G7" s="41">
        <f>ABS(LN(10)*F7*C7/10)</f>
        <v>4.6048521290635594E-2</v>
      </c>
      <c r="H7" s="35" t="s">
        <v>75</v>
      </c>
      <c r="I7" s="37" t="s">
        <v>72</v>
      </c>
      <c r="J7" s="42">
        <f>10*LOG10(F7)</f>
        <v>3.01</v>
      </c>
      <c r="K7" s="43">
        <f>10*G7/(LN(10)*F7)</f>
        <v>0.1</v>
      </c>
    </row>
    <row r="8" spans="1:12" ht="12.75" customHeight="1" thickBot="1">
      <c r="A8" s="37" t="s">
        <v>76</v>
      </c>
      <c r="B8" s="38">
        <v>6.02</v>
      </c>
      <c r="C8" s="39">
        <v>0.1</v>
      </c>
      <c r="D8" s="35" t="s">
        <v>73</v>
      </c>
      <c r="E8" s="37" t="s">
        <v>77</v>
      </c>
      <c r="F8" s="40">
        <f>10^(B8/10)</f>
        <v>3.9994474976109751</v>
      </c>
      <c r="G8" s="41">
        <f>ABS(LN(10)*F8*C8/10)</f>
        <v>9.2090681882113723E-2</v>
      </c>
      <c r="H8" s="35" t="s">
        <v>75</v>
      </c>
      <c r="I8" s="37" t="s">
        <v>76</v>
      </c>
      <c r="J8" s="42">
        <f>10*LOG10(F8)</f>
        <v>6.02</v>
      </c>
      <c r="K8" s="43">
        <f>10*G8/(LN(10)*F8)</f>
        <v>0.1</v>
      </c>
    </row>
    <row r="9" spans="1:12" ht="12.75" customHeight="1" thickBot="1">
      <c r="A9" s="37" t="s">
        <v>78</v>
      </c>
      <c r="B9" s="38">
        <v>10</v>
      </c>
      <c r="C9" s="39">
        <v>0.1</v>
      </c>
      <c r="D9" s="35" t="s">
        <v>73</v>
      </c>
      <c r="E9" s="37" t="s">
        <v>79</v>
      </c>
      <c r="F9" s="40">
        <f>10^(B9/10)</f>
        <v>10</v>
      </c>
      <c r="G9" s="41">
        <f>ABS(LN(10)*F9*C9/10)</f>
        <v>0.23025850929940464</v>
      </c>
      <c r="H9" s="35" t="s">
        <v>75</v>
      </c>
      <c r="I9" s="37" t="s">
        <v>78</v>
      </c>
      <c r="J9" s="42">
        <f>10*LOG10(F9)</f>
        <v>10</v>
      </c>
      <c r="K9" s="43">
        <f>10*G9/(LN(10)*F9)</f>
        <v>0.1</v>
      </c>
    </row>
    <row r="10" spans="1:12" ht="12.75" customHeight="1" thickBot="1">
      <c r="A10" s="37" t="s">
        <v>80</v>
      </c>
      <c r="B10" s="38">
        <v>9</v>
      </c>
      <c r="C10" s="44">
        <v>0.1</v>
      </c>
      <c r="D10" s="35" t="s">
        <v>73</v>
      </c>
      <c r="E10" s="37" t="s">
        <v>81</v>
      </c>
      <c r="F10" s="40">
        <f>10^(B10/10)</f>
        <v>7.9432823472428176</v>
      </c>
      <c r="G10" s="41">
        <f>ABS(LN(10)*F10*C10/10)</f>
        <v>0.18290083522204068</v>
      </c>
      <c r="H10" s="35" t="s">
        <v>75</v>
      </c>
      <c r="I10" s="37" t="s">
        <v>80</v>
      </c>
      <c r="J10" s="42">
        <f>10*LOG10(F10)</f>
        <v>9.0000000000000018</v>
      </c>
      <c r="K10" s="43">
        <f>10*G10/(LN(10)*F10)</f>
        <v>0.1</v>
      </c>
    </row>
    <row r="11" spans="1:12" ht="12.75" customHeight="1">
      <c r="A11" s="37"/>
      <c r="B11" s="45"/>
      <c r="C11" s="45"/>
      <c r="D11" s="46"/>
      <c r="E11" s="37"/>
      <c r="F11" s="45"/>
      <c r="G11" s="45"/>
      <c r="H11" s="13"/>
      <c r="I11" s="37"/>
      <c r="J11" s="45"/>
      <c r="K11" s="45"/>
    </row>
    <row r="12" spans="1:12" ht="12.75" customHeight="1">
      <c r="A12" s="37" t="s">
        <v>82</v>
      </c>
      <c r="B12" s="42">
        <f>SUM(B7:B10)</f>
        <v>28.03</v>
      </c>
      <c r="C12" s="45"/>
      <c r="E12" s="37" t="s">
        <v>83</v>
      </c>
      <c r="F12" s="40">
        <f>PRODUCT(F7:F10)</f>
        <v>635.33093185174391</v>
      </c>
      <c r="G12" s="45"/>
      <c r="H12" s="46"/>
      <c r="I12" s="37" t="s">
        <v>82</v>
      </c>
      <c r="J12" s="42">
        <f>SUM(J7:J10)</f>
        <v>28.03</v>
      </c>
      <c r="K12" s="45"/>
    </row>
    <row r="13" spans="1:12" ht="12.75" customHeight="1">
      <c r="A13" s="37" t="s">
        <v>84</v>
      </c>
      <c r="B13" s="9"/>
      <c r="C13" s="43">
        <f>SUM(ABS(C7),ABS(C8),ABS(C9),ABS(C10))</f>
        <v>0.4</v>
      </c>
      <c r="E13" s="37" t="s">
        <v>85</v>
      </c>
      <c r="F13" s="45"/>
      <c r="G13" s="41">
        <f>PRODUCT(G7,F8,F9,F10)+PRODUCT(F7,G8,F9,F10)+PRODUCT(F7,F8,G9,F10)+PRODUCT(F7,F8,F9,G10)</f>
        <v>58.516141311993671</v>
      </c>
      <c r="H13" s="13"/>
      <c r="I13" s="37" t="s">
        <v>84</v>
      </c>
      <c r="J13" s="9"/>
      <c r="K13" s="42">
        <f>SUM(K7:K10)</f>
        <v>0.4</v>
      </c>
    </row>
    <row r="14" spans="1:12" ht="12.75" customHeight="1">
      <c r="B14" s="47" t="s">
        <v>86</v>
      </c>
      <c r="C14" s="47" t="s">
        <v>86</v>
      </c>
      <c r="E14" s="13"/>
      <c r="F14" s="47" t="s">
        <v>86</v>
      </c>
      <c r="G14" s="47" t="s">
        <v>86</v>
      </c>
      <c r="H14" s="13"/>
      <c r="I14" s="48"/>
      <c r="J14" s="47" t="s">
        <v>86</v>
      </c>
      <c r="K14" s="47" t="s">
        <v>86</v>
      </c>
      <c r="L14" s="13"/>
    </row>
    <row r="15" spans="1:12" ht="12.75" customHeight="1">
      <c r="B15" s="49" t="s">
        <v>87</v>
      </c>
      <c r="C15" s="43">
        <f>SQRT(C7^2+C8^2+C9^2+C10^2)</f>
        <v>0.2</v>
      </c>
      <c r="E15" s="13"/>
      <c r="F15" s="49" t="s">
        <v>87</v>
      </c>
      <c r="G15" s="41">
        <f>SQRT(PRODUCT(G7,F8,F9,F10)^2+PRODUCT(F7,G8,F9,F10)^2+PRODUCT(F7,F8,G9,F10)^2+PRODUCT(F7,F8,F9,G10)^2)</f>
        <v>29.258070655996836</v>
      </c>
      <c r="I15" s="48"/>
      <c r="J15" s="49" t="s">
        <v>87</v>
      </c>
      <c r="K15" s="50">
        <f>SQRT(K7^2+K8^2+K9^2+K10^2)</f>
        <v>0.2</v>
      </c>
    </row>
    <row r="16" spans="1:12" ht="12.75" customHeight="1">
      <c r="B16" s="47" t="s">
        <v>86</v>
      </c>
      <c r="C16" s="47" t="s">
        <v>86</v>
      </c>
      <c r="E16" s="13"/>
      <c r="F16" s="47" t="s">
        <v>86</v>
      </c>
      <c r="G16" s="47" t="s">
        <v>86</v>
      </c>
      <c r="H16" s="13"/>
      <c r="I16" s="48"/>
      <c r="J16" s="47" t="s">
        <v>86</v>
      </c>
      <c r="K16" s="47" t="s">
        <v>86</v>
      </c>
    </row>
    <row r="17" spans="1:11" ht="12.75" customHeight="1">
      <c r="A17" s="51" t="s">
        <v>88</v>
      </c>
      <c r="B17" s="52">
        <f>ROUNDUP(B12,2)</f>
        <v>28.03</v>
      </c>
      <c r="C17" s="53">
        <f>ROUNDUP(C15,2)</f>
        <v>0.2</v>
      </c>
      <c r="E17" s="29" t="s">
        <v>88</v>
      </c>
      <c r="F17" s="54">
        <f>ROUND(F12,0)</f>
        <v>635</v>
      </c>
      <c r="G17" s="55">
        <f>ROUND(G15,1)</f>
        <v>29.3</v>
      </c>
      <c r="H17" s="13"/>
      <c r="I17" s="48"/>
      <c r="J17" s="47" t="s">
        <v>86</v>
      </c>
      <c r="K17" s="47" t="s">
        <v>86</v>
      </c>
    </row>
    <row r="18" spans="1:11" ht="12.75" customHeight="1">
      <c r="E18" s="9"/>
      <c r="F18" s="56" t="s">
        <v>89</v>
      </c>
      <c r="G18" s="45"/>
      <c r="H18" s="13"/>
      <c r="I18" s="57"/>
      <c r="J18" s="47" t="s">
        <v>86</v>
      </c>
      <c r="K18" s="47" t="s">
        <v>90</v>
      </c>
    </row>
    <row r="19" spans="1:11" ht="12.75" customHeight="1">
      <c r="E19" s="17" t="s">
        <v>68</v>
      </c>
      <c r="F19" s="58" t="s">
        <v>91</v>
      </c>
      <c r="G19" s="59">
        <f>F17+G17</f>
        <v>664.3</v>
      </c>
      <c r="H19" s="35" t="s">
        <v>75</v>
      </c>
      <c r="I19" s="58" t="str">
        <f>CONCATENATE("10 · log₁₀(",TEXT(G19,"0.0"),") = ")</f>
        <v xml:space="preserve">10 · log₁₀(664.3) = </v>
      </c>
      <c r="J19" s="60">
        <f>10*LOG10(G19)</f>
        <v>28.223642524415492</v>
      </c>
      <c r="K19" s="47"/>
    </row>
    <row r="20" spans="1:11" ht="12.75" customHeight="1">
      <c r="E20" s="61"/>
      <c r="F20" s="58" t="s">
        <v>92</v>
      </c>
      <c r="G20" s="59">
        <f>F17</f>
        <v>635</v>
      </c>
      <c r="H20" s="35" t="s">
        <v>75</v>
      </c>
      <c r="I20" s="58" t="str">
        <f>CONCATENATE("10 · log₁₀(",TEXT(G20,"0.0"),") = ")</f>
        <v xml:space="preserve">10 · log₁₀(635.0) = </v>
      </c>
      <c r="J20" s="60">
        <f>10*LOG10(G20)</f>
        <v>28.027737252919756</v>
      </c>
      <c r="K20" s="47"/>
    </row>
    <row r="21" spans="1:11" ht="12.75" customHeight="1">
      <c r="E21" s="61"/>
      <c r="F21" s="58" t="s">
        <v>93</v>
      </c>
      <c r="G21" s="59">
        <f>F17-G17</f>
        <v>605.70000000000005</v>
      </c>
      <c r="H21" s="35" t="s">
        <v>75</v>
      </c>
      <c r="I21" s="58" t="str">
        <f>CONCATENATE("10 · log₁₀(",TEXT(G21,"0.0"),") = ")</f>
        <v xml:space="preserve">10 · log₁₀(605.7) = </v>
      </c>
      <c r="J21" s="60">
        <f>10*LOG10(G21)</f>
        <v>27.822575736633016</v>
      </c>
      <c r="K21" s="47"/>
    </row>
    <row r="22" spans="1:11" ht="12.75" customHeight="1">
      <c r="G22" s="47" t="s">
        <v>86</v>
      </c>
      <c r="H22" s="46"/>
      <c r="I22" s="62"/>
      <c r="J22" s="47" t="s">
        <v>86</v>
      </c>
      <c r="K22" s="47"/>
    </row>
    <row r="23" spans="1:11" ht="12.75" customHeight="1" thickBot="1">
      <c r="G23" s="47" t="s">
        <v>86</v>
      </c>
      <c r="H23" s="13"/>
      <c r="J23" s="47" t="s">
        <v>86</v>
      </c>
      <c r="K23" s="47"/>
    </row>
    <row r="24" spans="1:11" ht="12.75" customHeight="1" thickTop="1" thickBot="1">
      <c r="F24" s="29" t="s">
        <v>94</v>
      </c>
      <c r="G24" s="63" t="str">
        <f>IF(ABS(G20-G30)&lt;G17,"Yes","No")</f>
        <v>Yes</v>
      </c>
      <c r="H24" s="13"/>
      <c r="I24" s="29" t="s">
        <v>94</v>
      </c>
      <c r="J24" s="63" t="str">
        <f>IF(ABS(J20-J30)&lt;K27,"Yes","No")</f>
        <v>Yes</v>
      </c>
      <c r="K24" s="47"/>
    </row>
    <row r="25" spans="1:11" ht="12.75" customHeight="1" thickTop="1">
      <c r="F25" s="64"/>
      <c r="G25" s="47" t="s">
        <v>95</v>
      </c>
      <c r="H25" s="13"/>
      <c r="I25" s="48"/>
      <c r="J25" s="47" t="s">
        <v>95</v>
      </c>
      <c r="K25" s="47"/>
    </row>
    <row r="26" spans="1:11" ht="12.75" customHeight="1">
      <c r="F26" s="64"/>
      <c r="G26" s="47" t="s">
        <v>95</v>
      </c>
      <c r="H26" s="13"/>
      <c r="I26" s="48"/>
      <c r="J26" s="47" t="s">
        <v>95</v>
      </c>
      <c r="K26" s="47"/>
    </row>
    <row r="27" spans="1:11" ht="12.75" customHeight="1">
      <c r="G27" s="47" t="s">
        <v>95</v>
      </c>
      <c r="H27" s="13"/>
      <c r="I27" s="51" t="s">
        <v>88</v>
      </c>
      <c r="J27" s="65">
        <f>ROUNDUP(J12,2)</f>
        <v>28.03</v>
      </c>
      <c r="K27" s="66">
        <f>ROUNDUP(K15,2)</f>
        <v>0.2</v>
      </c>
    </row>
    <row r="28" spans="1:11" ht="12.75" customHeight="1">
      <c r="G28" s="47" t="s">
        <v>95</v>
      </c>
      <c r="H28" s="13"/>
      <c r="I28" s="67"/>
      <c r="J28" s="45"/>
      <c r="K28" s="67"/>
    </row>
    <row r="29" spans="1:11" ht="12.75" customHeight="1">
      <c r="F29" s="17" t="s">
        <v>68</v>
      </c>
      <c r="G29" s="68">
        <f>10^(J29/10)</f>
        <v>665.27315620174193</v>
      </c>
      <c r="H29" s="69" t="s">
        <v>96</v>
      </c>
      <c r="I29" s="45" t="s">
        <v>97</v>
      </c>
      <c r="J29" s="70">
        <f>J27+K27</f>
        <v>28.23</v>
      </c>
      <c r="K29" s="71" t="s">
        <v>98</v>
      </c>
    </row>
    <row r="30" spans="1:11" ht="12.75" customHeight="1">
      <c r="F30" s="61"/>
      <c r="G30" s="68">
        <f>10^(J30/10)</f>
        <v>635.3309318517438</v>
      </c>
      <c r="H30" s="69" t="s">
        <v>99</v>
      </c>
      <c r="I30" s="45" t="s">
        <v>97</v>
      </c>
      <c r="J30" s="70">
        <f>J27</f>
        <v>28.03</v>
      </c>
      <c r="K30" s="71" t="s">
        <v>100</v>
      </c>
    </row>
    <row r="31" spans="1:11" ht="12.75" customHeight="1">
      <c r="F31" s="61"/>
      <c r="G31" s="68">
        <f>10^(J31/10)</f>
        <v>606.73632958850612</v>
      </c>
      <c r="H31" s="69" t="s">
        <v>101</v>
      </c>
      <c r="I31" s="45" t="s">
        <v>97</v>
      </c>
      <c r="J31" s="70">
        <f>J27-K27</f>
        <v>27.830000000000002</v>
      </c>
      <c r="K31" s="71" t="s">
        <v>102</v>
      </c>
    </row>
    <row r="38" spans="1:6" ht="12.75" customHeight="1">
      <c r="A38" s="72" t="s">
        <v>103</v>
      </c>
      <c r="E38" s="30" t="s">
        <v>104</v>
      </c>
      <c r="F38" s="30" t="s">
        <v>105</v>
      </c>
    </row>
    <row r="39" spans="1:6" ht="12.75" customHeight="1" thickBot="1">
      <c r="A39" s="73" t="s">
        <v>106</v>
      </c>
      <c r="B39" s="74">
        <f>F17</f>
        <v>635</v>
      </c>
      <c r="C39" s="75" t="s">
        <v>75</v>
      </c>
      <c r="D39" s="76" t="str">
        <f>CONCATENATE("10 · log₁₀(",TEXT(B39,"0.0"),") = ")</f>
        <v xml:space="preserve">10 · log₁₀(635.0) = </v>
      </c>
      <c r="E39" s="77">
        <f>10*LOG10(B39)</f>
        <v>28.027737252919756</v>
      </c>
      <c r="F39" s="60">
        <f>J27</f>
        <v>28.03</v>
      </c>
    </row>
    <row r="40" spans="1:6" ht="12.75" customHeight="1" thickBot="1">
      <c r="A40" s="61" t="s">
        <v>107</v>
      </c>
      <c r="B40" s="78">
        <f>G17</f>
        <v>29.3</v>
      </c>
      <c r="C40" s="35" t="s">
        <v>75</v>
      </c>
      <c r="D40" s="79" t="str">
        <f>CONCATENATE("10 · log₁₀(",TEXT(B40,"0.0"),") = ")</f>
        <v xml:space="preserve">10 · log₁₀(29.3) = </v>
      </c>
      <c r="E40" s="80">
        <f>10*LOG10(B40)</f>
        <v>14.668676203541096</v>
      </c>
      <c r="F40" s="81">
        <f>K27</f>
        <v>0.2</v>
      </c>
    </row>
    <row r="41" spans="1:6" ht="12.75" customHeight="1">
      <c r="B41" s="82"/>
      <c r="C41" s="83"/>
      <c r="D41" s="62"/>
      <c r="F41" s="84"/>
    </row>
    <row r="42" spans="1:6" ht="12.75" customHeight="1">
      <c r="A42" s="72" t="s">
        <v>103</v>
      </c>
      <c r="E42" s="30" t="s">
        <v>104</v>
      </c>
      <c r="F42" s="30" t="s">
        <v>105</v>
      </c>
    </row>
    <row r="43" spans="1:6" ht="12.75" customHeight="1" thickBot="1">
      <c r="A43" s="73" t="s">
        <v>108</v>
      </c>
      <c r="B43" s="85">
        <f>J27</f>
        <v>28.03</v>
      </c>
      <c r="C43" s="75" t="s">
        <v>73</v>
      </c>
      <c r="D43" s="76" t="s">
        <v>109</v>
      </c>
      <c r="E43" s="86">
        <f>10^(B43/10)</f>
        <v>635.3309318517438</v>
      </c>
      <c r="F43" s="68">
        <f>F17</f>
        <v>635</v>
      </c>
    </row>
    <row r="44" spans="1:6" ht="12.75" customHeight="1" thickBot="1">
      <c r="A44" s="61" t="s">
        <v>110</v>
      </c>
      <c r="B44" s="87">
        <f>$K$27</f>
        <v>0.2</v>
      </c>
      <c r="C44" s="35" t="s">
        <v>73</v>
      </c>
      <c r="D44" s="79" t="s">
        <v>111</v>
      </c>
      <c r="E44" s="88">
        <f>10^(B44/10)</f>
        <v>1.0471285480508996</v>
      </c>
      <c r="F44" s="89">
        <f>G17</f>
        <v>29.3</v>
      </c>
    </row>
    <row r="49" spans="1:1" ht="12.75" customHeight="1">
      <c r="A49" s="4" t="s">
        <v>57</v>
      </c>
    </row>
  </sheetData>
  <conditionalFormatting sqref="G24">
    <cfRule type="expression" dxfId="7" priority="1" stopIfTrue="1">
      <formula>ABS(#REF!-G30)&lt;#REF!</formula>
    </cfRule>
    <cfRule type="expression" dxfId="6" priority="2">
      <formula>ABS(#REF!-G30)&gt;=#REF!</formula>
    </cfRule>
  </conditionalFormatting>
  <conditionalFormatting sqref="J24">
    <cfRule type="expression" dxfId="5" priority="3" stopIfTrue="1">
      <formula>ABS(#REF!-J30)&lt;K27</formula>
    </cfRule>
    <cfRule type="expression" dxfId="4" priority="4">
      <formula>ABS(#REF!-J30)&gt;=K27</formula>
    </cfRule>
  </conditionalFormatting>
  <dataValidations count="1">
    <dataValidation type="decimal" operator="greaterThanOrEqual" allowBlank="1" showInputMessage="1" showErrorMessage="1" promptTitle="Error Value Input" prompt="Error values must be positive values." sqref="C7:C10">
      <formula1>0</formula1>
    </dataValidation>
  </dataValidations>
  <hyperlinks>
    <hyperlink ref="A49" location="'Analysis - Error (dB to Linear)'!A1" display="Top of Page"/>
  </hyperlinks>
  <pageMargins left="0.2" right="0.2" top="0.2" bottom="0.2" header="0" footer="0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tabColor rgb="FF00B050"/>
    <pageSetUpPr fitToPage="1"/>
  </sheetPr>
  <dimension ref="A1:L43"/>
  <sheetViews>
    <sheetView showGridLines="0" showRowColHeaders="0" zoomScale="40" zoomScaleNormal="40" workbookViewId="0">
      <selection sqref="A1:L38"/>
    </sheetView>
  </sheetViews>
  <sheetFormatPr defaultColWidth="9" defaultRowHeight="12.75" customHeight="1"/>
  <cols>
    <col min="1" max="1" width="20" style="3" customWidth="1"/>
    <col min="2" max="2" width="24.28515625" style="3" customWidth="1"/>
    <col min="3" max="3" width="25.7109375" style="3" customWidth="1"/>
    <col min="4" max="4" width="21.42578125" style="3" customWidth="1"/>
    <col min="5" max="7" width="25.7109375" style="3" customWidth="1"/>
    <col min="8" max="8" width="21.42578125" style="3" customWidth="1"/>
    <col min="9" max="9" width="25.7109375" style="3" customWidth="1"/>
    <col min="10" max="11" width="30" style="3" customWidth="1"/>
    <col min="12" max="12" width="10" style="3" customWidth="1"/>
    <col min="13" max="16384" width="9" style="3"/>
  </cols>
  <sheetData>
    <row r="1" spans="1:12" s="2" customFormat="1" ht="12.75" customHeight="1">
      <c r="A1" s="1" t="str">
        <f ca="1">CONCATENATE(MID(CELL("filename",A1),FIND("]",CELL("filename",A1))+1,255)," - Copyright © 2022 Michael C Maguire P. Eng.")</f>
        <v>Analysis - Error (Linear to dB) - Copyright © 2022 Michael C Maguire P. Eng.</v>
      </c>
      <c r="D1" s="3"/>
    </row>
    <row r="2" spans="1:12" s="2" customFormat="1" ht="12.75" customHeight="1" thickBot="1">
      <c r="D2" s="3"/>
    </row>
    <row r="3" spans="1:12" ht="12.75" customHeight="1" thickTop="1" thickBot="1">
      <c r="A3" s="3" t="s">
        <v>112</v>
      </c>
      <c r="B3" s="23"/>
      <c r="E3" s="90" t="s">
        <v>59</v>
      </c>
      <c r="F3" s="25" t="s">
        <v>60</v>
      </c>
      <c r="G3" s="26" t="s">
        <v>61</v>
      </c>
      <c r="H3" s="27" t="s">
        <v>62</v>
      </c>
      <c r="I3" s="28" t="s">
        <v>63</v>
      </c>
    </row>
    <row r="4" spans="1:12" ht="12.75" customHeight="1" thickTop="1">
      <c r="B4" s="23"/>
    </row>
    <row r="5" spans="1:12" ht="12.75" customHeight="1">
      <c r="A5" s="29"/>
      <c r="B5" s="31" t="s">
        <v>66</v>
      </c>
      <c r="C5" s="30" t="s">
        <v>67</v>
      </c>
      <c r="D5" s="30"/>
      <c r="E5" s="29"/>
      <c r="F5" s="30" t="s">
        <v>64</v>
      </c>
      <c r="G5" s="30" t="s">
        <v>65</v>
      </c>
      <c r="H5" s="17"/>
      <c r="I5" s="17" t="s">
        <v>68</v>
      </c>
      <c r="J5" s="31" t="s">
        <v>66</v>
      </c>
      <c r="K5" s="30" t="s">
        <v>67</v>
      </c>
    </row>
    <row r="6" spans="1:12" ht="12.75" customHeight="1" thickBot="1">
      <c r="A6" s="37"/>
      <c r="B6" s="33" t="s">
        <v>6</v>
      </c>
      <c r="C6" s="34" t="s">
        <v>7</v>
      </c>
      <c r="D6" s="35" t="s">
        <v>113</v>
      </c>
      <c r="E6" s="35" t="s">
        <v>113</v>
      </c>
      <c r="F6" s="9" t="s">
        <v>54</v>
      </c>
      <c r="G6" s="9" t="s">
        <v>114</v>
      </c>
      <c r="H6" s="91" t="s">
        <v>113</v>
      </c>
      <c r="I6" s="35" t="s">
        <v>113</v>
      </c>
      <c r="J6" s="36" t="s">
        <v>115</v>
      </c>
      <c r="K6" s="9" t="s">
        <v>116</v>
      </c>
    </row>
    <row r="7" spans="1:12" ht="12.75" customHeight="1" thickBot="1">
      <c r="A7" s="92" t="s">
        <v>117</v>
      </c>
      <c r="B7" s="93">
        <v>5</v>
      </c>
      <c r="C7" s="94">
        <v>0.1</v>
      </c>
      <c r="D7" s="35" t="s">
        <v>75</v>
      </c>
      <c r="E7" s="37" t="s">
        <v>117</v>
      </c>
      <c r="F7" s="42">
        <f>10*LOG10(B7)</f>
        <v>6.9897000433601884</v>
      </c>
      <c r="G7" s="43">
        <f>10*C7/(LN(10)*B7)</f>
        <v>8.6858896380650349E-2</v>
      </c>
      <c r="H7" s="35" t="s">
        <v>73</v>
      </c>
      <c r="I7" s="37" t="s">
        <v>117</v>
      </c>
      <c r="J7" s="9">
        <f>10^(F7/10)</f>
        <v>5.0000000000000018</v>
      </c>
      <c r="K7" s="9">
        <f>LN(10)*J7*G7/10</f>
        <v>0.10000000000000002</v>
      </c>
    </row>
    <row r="8" spans="1:12" ht="12.75" customHeight="1" thickBot="1">
      <c r="A8" s="92" t="s">
        <v>118</v>
      </c>
      <c r="B8" s="93">
        <v>7</v>
      </c>
      <c r="C8" s="94">
        <v>0.1</v>
      </c>
      <c r="D8" s="35" t="s">
        <v>75</v>
      </c>
      <c r="E8" s="37" t="s">
        <v>118</v>
      </c>
      <c r="F8" s="42">
        <f>10*LOG10(B8)</f>
        <v>8.4509804001425675</v>
      </c>
      <c r="G8" s="43">
        <f>10*C8/(LN(10)*B8)</f>
        <v>6.2042068843321689E-2</v>
      </c>
      <c r="H8" s="35" t="s">
        <v>73</v>
      </c>
      <c r="I8" s="37" t="s">
        <v>118</v>
      </c>
      <c r="J8" s="9">
        <f>10^(F8/10)</f>
        <v>6.9999999999999991</v>
      </c>
      <c r="K8" s="9">
        <f>LN(10)*J8*G8/10</f>
        <v>0.1</v>
      </c>
    </row>
    <row r="9" spans="1:12" ht="12.75" customHeight="1" thickBot="1">
      <c r="A9" s="92" t="s">
        <v>119</v>
      </c>
      <c r="B9" s="93">
        <v>8</v>
      </c>
      <c r="C9" s="94">
        <v>0.1</v>
      </c>
      <c r="D9" s="35" t="s">
        <v>75</v>
      </c>
      <c r="E9" s="37" t="s">
        <v>119</v>
      </c>
      <c r="F9" s="42">
        <f>10*LOG10(B9)</f>
        <v>9.0308998699194358</v>
      </c>
      <c r="G9" s="43">
        <f>10*C9/(LN(10)*B9)</f>
        <v>5.428681023790647E-2</v>
      </c>
      <c r="H9" s="35" t="s">
        <v>73</v>
      </c>
      <c r="I9" s="37" t="s">
        <v>119</v>
      </c>
      <c r="J9" s="9">
        <f>10^(F9/10)</f>
        <v>8.0000000000000018</v>
      </c>
      <c r="K9" s="9">
        <f>LN(10)*J9*G9/10</f>
        <v>0.10000000000000002</v>
      </c>
    </row>
    <row r="10" spans="1:12" ht="12.75" customHeight="1" thickBot="1">
      <c r="A10" s="92" t="s">
        <v>120</v>
      </c>
      <c r="B10" s="93">
        <v>9</v>
      </c>
      <c r="C10" s="95">
        <v>0.1</v>
      </c>
      <c r="D10" s="35" t="s">
        <v>75</v>
      </c>
      <c r="E10" s="37" t="s">
        <v>120</v>
      </c>
      <c r="F10" s="42">
        <f>10*LOG10(B10)</f>
        <v>9.5424250943932485</v>
      </c>
      <c r="G10" s="43">
        <f>10*C10/(LN(10)*B10)</f>
        <v>4.8254942433694638E-2</v>
      </c>
      <c r="H10" s="35" t="s">
        <v>73</v>
      </c>
      <c r="I10" s="37" t="s">
        <v>120</v>
      </c>
      <c r="J10" s="9">
        <f>10^(F10/10)</f>
        <v>9.0000000000000018</v>
      </c>
      <c r="K10" s="9">
        <f>LN(10)*J10*G10/10</f>
        <v>0.1</v>
      </c>
    </row>
    <row r="11" spans="1:12" ht="12.75" customHeight="1">
      <c r="A11" s="37"/>
      <c r="B11" s="96" t="s">
        <v>86</v>
      </c>
      <c r="C11" s="96" t="s">
        <v>86</v>
      </c>
      <c r="D11" s="13"/>
      <c r="E11" s="37"/>
      <c r="F11" s="45" t="s">
        <v>86</v>
      </c>
      <c r="G11" s="45" t="s">
        <v>86</v>
      </c>
      <c r="H11" s="46"/>
      <c r="I11" s="37"/>
      <c r="J11" s="9" t="s">
        <v>86</v>
      </c>
      <c r="K11" s="9" t="s">
        <v>86</v>
      </c>
    </row>
    <row r="12" spans="1:12" ht="12.75" customHeight="1">
      <c r="A12" s="37" t="s">
        <v>121</v>
      </c>
      <c r="B12" s="9">
        <f>PRODUCT(B7:B10)</f>
        <v>2520</v>
      </c>
      <c r="C12" s="45" t="s">
        <v>86</v>
      </c>
      <c r="D12" s="46"/>
      <c r="E12" s="37" t="s">
        <v>122</v>
      </c>
      <c r="F12" s="42">
        <f>SUM(F7:F10)</f>
        <v>34.014005407815446</v>
      </c>
      <c r="G12" s="45" t="s">
        <v>86</v>
      </c>
      <c r="I12" s="37" t="s">
        <v>121</v>
      </c>
      <c r="J12" s="9">
        <f>PRODUCT(J7:J10)</f>
        <v>2520.0000000000014</v>
      </c>
      <c r="K12" s="9" t="s">
        <v>86</v>
      </c>
    </row>
    <row r="13" spans="1:12" ht="12.75" customHeight="1">
      <c r="A13" s="37" t="s">
        <v>85</v>
      </c>
      <c r="B13" s="45" t="s">
        <v>86</v>
      </c>
      <c r="C13" s="97">
        <f>PRODUCT(C7,B8,B9,B10)+PRODUCT(B7,C8,B9,B10)+PRODUCT(B7,B8,C9,B10)+PRODUCT(B7,B8,B9,C10)</f>
        <v>145.9</v>
      </c>
      <c r="D13" s="13"/>
      <c r="E13" s="37" t="s">
        <v>84</v>
      </c>
      <c r="F13" s="45" t="s">
        <v>86</v>
      </c>
      <c r="G13" s="43">
        <f>SUM(G7:G10)</f>
        <v>0.25144271789557315</v>
      </c>
      <c r="I13" s="37" t="s">
        <v>85</v>
      </c>
      <c r="J13" s="9"/>
      <c r="K13" s="97">
        <f>PRODUCT(K7,J8,J9,J10)+PRODUCT(J7,K8,J9,J10)+PRODUCT(J7,J8,K9,J10)+PRODUCT(J7,J8,J9,K10)</f>
        <v>145.90000000000009</v>
      </c>
    </row>
    <row r="14" spans="1:12" ht="12.75" customHeight="1">
      <c r="A14" s="13"/>
      <c r="B14" s="47" t="s">
        <v>86</v>
      </c>
      <c r="C14" s="47" t="s">
        <v>86</v>
      </c>
      <c r="D14" s="13"/>
      <c r="E14" s="48"/>
      <c r="F14" s="47" t="s">
        <v>86</v>
      </c>
      <c r="G14" s="47" t="s">
        <v>86</v>
      </c>
      <c r="H14" s="13"/>
      <c r="I14" s="13"/>
      <c r="J14" s="47" t="s">
        <v>86</v>
      </c>
      <c r="K14" s="47" t="s">
        <v>86</v>
      </c>
      <c r="L14" s="13"/>
    </row>
    <row r="15" spans="1:12" ht="12.75" customHeight="1">
      <c r="A15" s="13"/>
      <c r="B15" s="47" t="s">
        <v>86</v>
      </c>
      <c r="C15" s="97">
        <f>SQRT(PRODUCT(C7,B8,B9,B10)^2+PRODUCT(B7,C8,B9,B10)^2+PRODUCT(B7,B8,C9,B10)^2+PRODUCT(B7,B8,B9,C10)^2)</f>
        <v>74.916019648670613</v>
      </c>
      <c r="D15" s="98" t="s">
        <v>123</v>
      </c>
      <c r="E15" s="48"/>
      <c r="F15" s="47" t="s">
        <v>86</v>
      </c>
      <c r="G15" s="43">
        <f>SQRT(G7^2+G8^2+G9^2+G10^2)</f>
        <v>0.12910957912529059</v>
      </c>
      <c r="H15" s="98" t="s">
        <v>123</v>
      </c>
      <c r="I15" s="13"/>
      <c r="J15" s="47" t="s">
        <v>86</v>
      </c>
      <c r="K15" s="97">
        <f>SQRT(PRODUCT(K7,J8,J9,J10)^2+PRODUCT(J7,K8,J9,J10)^2+PRODUCT(J7,J8,K9,J10)^2+PRODUCT(J7,J8,J9,K10)^2)</f>
        <v>74.916019648670641</v>
      </c>
      <c r="L15" s="98" t="s">
        <v>123</v>
      </c>
    </row>
    <row r="16" spans="1:12" ht="12.75" customHeight="1">
      <c r="A16" s="13"/>
      <c r="B16" s="47" t="s">
        <v>86</v>
      </c>
      <c r="C16" s="47" t="s">
        <v>86</v>
      </c>
      <c r="D16" s="13"/>
      <c r="E16" s="48"/>
      <c r="F16" s="99" t="s">
        <v>124</v>
      </c>
      <c r="G16" s="47" t="s">
        <v>86</v>
      </c>
      <c r="H16" s="46"/>
      <c r="I16" s="13"/>
      <c r="J16" s="47" t="s">
        <v>86</v>
      </c>
      <c r="K16" s="47" t="s">
        <v>86</v>
      </c>
      <c r="L16" s="13"/>
    </row>
    <row r="17" spans="1:12" ht="12.75" customHeight="1">
      <c r="A17" s="29" t="s">
        <v>88</v>
      </c>
      <c r="B17" s="100">
        <f>ROUND(B12,0)</f>
        <v>2520</v>
      </c>
      <c r="C17" s="100">
        <f>ROUND(C15,0)</f>
        <v>75</v>
      </c>
      <c r="D17" s="13"/>
      <c r="E17" s="48"/>
      <c r="F17" s="99" t="s">
        <v>89</v>
      </c>
      <c r="G17" s="47" t="s">
        <v>86</v>
      </c>
      <c r="I17" s="29" t="s">
        <v>88</v>
      </c>
      <c r="J17" s="100">
        <f>ROUND(J12,0)</f>
        <v>2520</v>
      </c>
      <c r="K17" s="100">
        <f>ROUND(K15,0)</f>
        <v>75</v>
      </c>
      <c r="L17" s="13"/>
    </row>
    <row r="18" spans="1:12" ht="12.75" customHeight="1">
      <c r="A18" s="9"/>
      <c r="B18" s="56" t="s">
        <v>89</v>
      </c>
      <c r="C18" s="45" t="s">
        <v>86</v>
      </c>
      <c r="D18" s="13"/>
      <c r="E18" s="57"/>
      <c r="F18" s="13"/>
      <c r="G18" s="47" t="s">
        <v>86</v>
      </c>
      <c r="H18" s="13"/>
      <c r="I18" s="13"/>
      <c r="J18" s="13"/>
      <c r="K18" s="13"/>
    </row>
    <row r="19" spans="1:12" ht="12.75" customHeight="1">
      <c r="A19" s="17" t="s">
        <v>68</v>
      </c>
      <c r="B19" s="58" t="str">
        <f>CONCATENATE(B17," + ",C17," = ")</f>
        <v xml:space="preserve">2520 + 75 = </v>
      </c>
      <c r="C19" s="100">
        <f>B17+C17</f>
        <v>2595</v>
      </c>
      <c r="D19" s="35" t="s">
        <v>75</v>
      </c>
      <c r="E19" s="58" t="str">
        <f>CONCATENATE("10 · log₁₀(",C19,") = ")</f>
        <v xml:space="preserve">10 · log₁₀(2595) = </v>
      </c>
      <c r="F19" s="101">
        <f>10*LOG10(C19)</f>
        <v>34.141373621844771</v>
      </c>
      <c r="G19" s="47" t="s">
        <v>86</v>
      </c>
    </row>
    <row r="20" spans="1:12" ht="12.75" customHeight="1">
      <c r="A20" s="61"/>
      <c r="B20" s="58"/>
      <c r="C20" s="100">
        <f>B17</f>
        <v>2520</v>
      </c>
      <c r="D20" s="35" t="s">
        <v>75</v>
      </c>
      <c r="E20" s="58" t="str">
        <f>CONCATENATE("10 · log₁₀(",C20,") = ")</f>
        <v xml:space="preserve">10 · log₁₀(2520) = </v>
      </c>
      <c r="F20" s="101">
        <f>10*LOG10(C20)</f>
        <v>34.014005407815439</v>
      </c>
      <c r="G20" s="47" t="s">
        <v>86</v>
      </c>
    </row>
    <row r="21" spans="1:12" ht="12.75" customHeight="1">
      <c r="A21" s="61"/>
      <c r="B21" s="58" t="str">
        <f>CONCATENATE(B17," − ",C17," = ")</f>
        <v xml:space="preserve">2520 − 75 = </v>
      </c>
      <c r="C21" s="100">
        <f>B17-C17</f>
        <v>2445</v>
      </c>
      <c r="D21" s="35" t="s">
        <v>75</v>
      </c>
      <c r="E21" s="58" t="str">
        <f>CONCATENATE("10 · log₁₀(",C21,") = ")</f>
        <v xml:space="preserve">10 · log₁₀(2445) = </v>
      </c>
      <c r="F21" s="101">
        <f>10*LOG10(C21)</f>
        <v>33.882788634596388</v>
      </c>
      <c r="G21" s="47" t="s">
        <v>86</v>
      </c>
    </row>
    <row r="22" spans="1:12" ht="12.75" customHeight="1" thickBot="1">
      <c r="C22" s="47" t="s">
        <v>86</v>
      </c>
      <c r="D22" s="46"/>
      <c r="E22" s="62"/>
      <c r="F22" s="47" t="s">
        <v>86</v>
      </c>
      <c r="G22" s="47" t="s">
        <v>86</v>
      </c>
    </row>
    <row r="23" spans="1:12" ht="12.75" customHeight="1" thickTop="1" thickBot="1">
      <c r="B23" s="102"/>
      <c r="C23" s="47" t="s">
        <v>86</v>
      </c>
      <c r="D23" s="13"/>
      <c r="E23" s="29" t="s">
        <v>94</v>
      </c>
      <c r="F23" s="63" t="str">
        <f>IF(ABS(F20-F28)&lt;G25,"Yes","No")</f>
        <v>Yes</v>
      </c>
      <c r="G23" s="47" t="s">
        <v>86</v>
      </c>
    </row>
    <row r="24" spans="1:12" ht="12.75" customHeight="1" thickTop="1" thickBot="1">
      <c r="B24" s="29" t="s">
        <v>94</v>
      </c>
      <c r="C24" s="63" t="str">
        <f>IF(ABS(C20-C28)&lt;C17,"Yes","No")</f>
        <v>Yes</v>
      </c>
      <c r="D24" s="13"/>
      <c r="E24" s="48"/>
      <c r="F24" s="47" t="s">
        <v>95</v>
      </c>
      <c r="G24" s="103" t="s">
        <v>125</v>
      </c>
    </row>
    <row r="25" spans="1:12" ht="12.75" customHeight="1" thickTop="1">
      <c r="C25" s="47" t="s">
        <v>95</v>
      </c>
      <c r="D25" s="13"/>
      <c r="E25" s="51" t="s">
        <v>88</v>
      </c>
      <c r="F25" s="100">
        <f>ROUND(F12,2)</f>
        <v>34.01</v>
      </c>
      <c r="G25" s="100">
        <f>ROUND(G15,2)</f>
        <v>0.13</v>
      </c>
    </row>
    <row r="26" spans="1:12" ht="12.75" customHeight="1">
      <c r="C26" s="47" t="s">
        <v>95</v>
      </c>
      <c r="D26" s="13"/>
      <c r="E26" s="37"/>
      <c r="F26" s="45" t="s">
        <v>86</v>
      </c>
      <c r="G26" s="67" t="s">
        <v>90</v>
      </c>
    </row>
    <row r="27" spans="1:12" ht="12.75" customHeight="1">
      <c r="A27" s="17" t="s">
        <v>68</v>
      </c>
      <c r="B27" s="58" t="s">
        <v>109</v>
      </c>
      <c r="C27" s="104">
        <f>10^(F27/10)</f>
        <v>2594.1793621188176</v>
      </c>
      <c r="D27" s="45" t="s">
        <v>97</v>
      </c>
      <c r="E27" s="58" t="str">
        <f>CONCATENATE(TEXT(F25,"0.00")," + ",TEXT(G25,"0.00")," = ")</f>
        <v xml:space="preserve">34.01 + 0.13 = </v>
      </c>
      <c r="F27" s="100">
        <f>F25+G25</f>
        <v>34.14</v>
      </c>
      <c r="G27" s="9"/>
    </row>
    <row r="28" spans="1:12" ht="12.75" customHeight="1">
      <c r="A28" s="61"/>
      <c r="B28" s="58" t="s">
        <v>109</v>
      </c>
      <c r="C28" s="104">
        <f>10^(F28/10)</f>
        <v>2517.676927758856</v>
      </c>
      <c r="D28" s="45" t="s">
        <v>97</v>
      </c>
      <c r="E28" s="58"/>
      <c r="F28" s="100">
        <f>F25</f>
        <v>34.01</v>
      </c>
      <c r="G28" s="9"/>
    </row>
    <row r="29" spans="1:12" ht="12.75" customHeight="1">
      <c r="A29" s="61"/>
      <c r="B29" s="58" t="s">
        <v>109</v>
      </c>
      <c r="C29" s="104">
        <f>10^(F29/10)</f>
        <v>2443.4305526939697</v>
      </c>
      <c r="D29" s="45" t="s">
        <v>97</v>
      </c>
      <c r="E29" s="58" t="str">
        <f>CONCATENATE(TEXT(F25,"0.00")," − ",TEXT(G25,"0.00")," = ")</f>
        <v xml:space="preserve">34.01 − 0.13 = </v>
      </c>
      <c r="F29" s="100">
        <f>F25-G25</f>
        <v>33.879999999999995</v>
      </c>
      <c r="G29" s="9"/>
    </row>
    <row r="32" spans="1:12" ht="12.75" customHeight="1">
      <c r="A32" s="72" t="s">
        <v>103</v>
      </c>
      <c r="E32" s="30" t="s">
        <v>104</v>
      </c>
      <c r="F32" s="30" t="s">
        <v>105</v>
      </c>
    </row>
    <row r="33" spans="1:8" ht="12.75" customHeight="1" thickBot="1">
      <c r="A33" s="105" t="s">
        <v>106</v>
      </c>
      <c r="B33" s="106">
        <f>B17</f>
        <v>2520</v>
      </c>
      <c r="C33" s="100" t="s">
        <v>75</v>
      </c>
      <c r="D33" s="106" t="str">
        <f>CONCATENATE("10 · log₁₀(",B33,") = ")</f>
        <v xml:space="preserve">10 · log₁₀(2520) = </v>
      </c>
      <c r="E33" s="107">
        <f>10*LOG10(B33)</f>
        <v>34.014005407815439</v>
      </c>
      <c r="F33" s="60">
        <f>F25</f>
        <v>34.01</v>
      </c>
    </row>
    <row r="34" spans="1:8" ht="12.75" customHeight="1" thickBot="1">
      <c r="A34" s="61" t="s">
        <v>107</v>
      </c>
      <c r="B34" s="108">
        <f>C17</f>
        <v>75</v>
      </c>
      <c r="C34" s="35" t="s">
        <v>75</v>
      </c>
      <c r="D34" s="79" t="str">
        <f>CONCATENATE("10 · log₁₀(",B34,") = ")</f>
        <v xml:space="preserve">10 · log₁₀(75) = </v>
      </c>
      <c r="E34" s="109">
        <f>10*LOG10(B34)</f>
        <v>18.750612633917001</v>
      </c>
      <c r="F34" s="81">
        <f>G25</f>
        <v>0.13</v>
      </c>
      <c r="G34" s="64"/>
      <c r="H34" s="64"/>
    </row>
    <row r="35" spans="1:8" ht="12.75" customHeight="1">
      <c r="B35" s="110"/>
      <c r="C35" s="83"/>
      <c r="D35" s="62"/>
      <c r="E35" s="64"/>
      <c r="F35" s="48"/>
      <c r="G35" s="84"/>
      <c r="H35" s="64"/>
    </row>
    <row r="36" spans="1:8" ht="12.75" customHeight="1">
      <c r="A36" s="72" t="s">
        <v>103</v>
      </c>
      <c r="E36" s="30" t="s">
        <v>104</v>
      </c>
      <c r="F36" s="30" t="s">
        <v>105</v>
      </c>
    </row>
    <row r="37" spans="1:8" ht="12.75" customHeight="1" thickBot="1">
      <c r="A37" s="105" t="s">
        <v>108</v>
      </c>
      <c r="B37" s="106">
        <f>F25</f>
        <v>34.01</v>
      </c>
      <c r="C37" s="100" t="s">
        <v>73</v>
      </c>
      <c r="D37" s="106" t="s">
        <v>109</v>
      </c>
      <c r="E37" s="111">
        <f>10^(B37/10)</f>
        <v>2517.676927758856</v>
      </c>
      <c r="F37" s="112">
        <f>C28</f>
        <v>2517.676927758856</v>
      </c>
    </row>
    <row r="38" spans="1:8" ht="12.75" customHeight="1" thickBot="1">
      <c r="A38" s="61" t="s">
        <v>110</v>
      </c>
      <c r="B38" s="87">
        <f>G25</f>
        <v>0.13</v>
      </c>
      <c r="C38" s="35" t="s">
        <v>73</v>
      </c>
      <c r="D38" s="79" t="s">
        <v>111</v>
      </c>
      <c r="E38" s="113">
        <f>10^(B38/10)</f>
        <v>1.030386120441616</v>
      </c>
      <c r="F38" s="114">
        <f>(C27-C29)/2</f>
        <v>75.374404712423939</v>
      </c>
      <c r="G38" s="64"/>
    </row>
    <row r="43" spans="1:8" ht="12.75" customHeight="1">
      <c r="A43" s="4" t="s">
        <v>57</v>
      </c>
    </row>
  </sheetData>
  <conditionalFormatting sqref="C24">
    <cfRule type="expression" dxfId="3" priority="3" stopIfTrue="1">
      <formula>ABS(#REF!-C28)&lt;#REF!</formula>
    </cfRule>
    <cfRule type="expression" dxfId="2" priority="4">
      <formula>ABS(#REF!-C28)&gt;=#REF!</formula>
    </cfRule>
  </conditionalFormatting>
  <conditionalFormatting sqref="F23">
    <cfRule type="expression" dxfId="1" priority="1" stopIfTrue="1">
      <formula>ABS(#REF!-F28)&lt;G25</formula>
    </cfRule>
    <cfRule type="expression" dxfId="0" priority="2">
      <formula>ABS(#REF!-F28)&gt;=G25</formula>
    </cfRule>
  </conditionalFormatting>
  <hyperlinks>
    <hyperlink ref="A43" location="'Analysis - Error (Linear to dB)'!A1" display="Top of Page"/>
  </hyperlinks>
  <pageMargins left="0.2" right="0.2" top="0.2" bottom="0.2" header="0" footer="0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 - Error Calculations</vt:lpstr>
      <vt:lpstr>Analysis - Error (dB to Linear)</vt:lpstr>
      <vt:lpstr>Analysis - Error (Linear to dB)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 Maguire</dc:creator>
  <cp:lastModifiedBy>Kirt Blattenberger</cp:lastModifiedBy>
  <cp:lastPrinted>2022-07-26T21:06:22Z</cp:lastPrinted>
  <dcterms:created xsi:type="dcterms:W3CDTF">2022-07-13T16:19:17Z</dcterms:created>
  <dcterms:modified xsi:type="dcterms:W3CDTF">2022-07-27T02:33:20Z</dcterms:modified>
</cp:coreProperties>
</file>